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Read Me" sheetId="2" state="visible" r:id="rId2"/>
    <sheet name="Lists" sheetId="3" state="visible" r:id="rId3"/>
    <sheet name="PO Data" sheetId="4" state="visible" r:id="rId4"/>
  </sheets>
  <definedNames>
    <definedName name="SupplierList">Lists!$A$2:$A$50</definedName>
    <definedName name="CategoryList">Lists!$B$2:$B$50</definedName>
    <definedName name="SupplierFilter">Lists!$G$2:$G$51</definedName>
    <definedName name="CategoryFilter">Lists!$H$2:$H$51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"/>
    <numFmt numFmtId="166" formatCode="#,##0;[Red]-#,##0;-"/>
    <numFmt numFmtId="167" formatCode="mmm yy"/>
    <numFmt numFmtId="168" formatCode="dd-mmm-yyyy"/>
    <numFmt numFmtId="169" formatCode="0.0"/>
    <numFmt numFmtId="170" formatCode="0.0%"/>
    <numFmt numFmtId="171" formatCode="mmm yyyy"/>
  </numFmts>
  <fonts count="1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i val="1"/>
      <color rgb="005B6B62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4231B"/>
      <sz val="18"/>
    </font>
    <font>
      <name val="Arial"/>
      <color rgb="005B6B62"/>
      <sz val="10"/>
    </font>
    <font>
      <name val="Arial"/>
      <b val="1"/>
      <color rgb="00217346"/>
      <sz val="10"/>
    </font>
    <font>
      <name val="Arial"/>
      <b val="1"/>
      <color rgb="000000FF"/>
      <sz val="10"/>
    </font>
    <font>
      <name val="Arial"/>
      <b val="1"/>
      <color rgb="0014231B"/>
      <sz val="12"/>
    </font>
    <font>
      <name val="Arial"/>
      <i val="1"/>
      <color rgb="005B6B62"/>
      <sz val="9"/>
    </font>
    <font>
      <name val="Arial"/>
      <b val="1"/>
      <color rgb="0014231B"/>
      <sz val="16"/>
    </font>
  </fonts>
  <fills count="5">
    <fill>
      <patternFill/>
    </fill>
    <fill>
      <patternFill patternType="gray125"/>
    </fill>
    <fill>
      <patternFill patternType="solid">
        <fgColor rgb="00217346"/>
        <bgColor rgb="00217346"/>
      </patternFill>
    </fill>
    <fill>
      <patternFill patternType="solid">
        <fgColor rgb="004F7A62"/>
        <bgColor rgb="004F7A62"/>
      </patternFill>
    </fill>
    <fill>
      <patternFill patternType="solid">
        <fgColor rgb="00FFF4C2"/>
        <bgColor rgb="00FFF4C2"/>
      </patternFill>
    </fill>
  </fills>
  <borders count="3">
    <border>
      <left/>
      <right/>
      <top/>
      <bottom/>
      <diagonal/>
    </border>
    <border>
      <left style="thin">
        <color rgb="00D9E2DC"/>
      </left>
      <right style="thin">
        <color rgb="00D9E2DC"/>
      </right>
      <top style="thin">
        <color rgb="00D9E2DC"/>
      </top>
      <bottom style="thin">
        <color rgb="00D9E2DC"/>
      </bottom>
    </border>
    <border>
      <bottom style="thin">
        <color rgb="00D9E2DC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0" borderId="0" pivotButton="0" quotePrefix="0" xfId="0"/>
    <xf numFmtId="0" fontId="9" fillId="4" borderId="1" pivotButton="0" quotePrefix="0" xfId="0"/>
    <xf numFmtId="0" fontId="2" fillId="0" borderId="0" pivotButton="0" quotePrefix="0" xfId="0"/>
    <xf numFmtId="168" fontId="9" fillId="4" borderId="1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1" fillId="0" borderId="2" pivotButton="0" quotePrefix="0" xfId="0"/>
    <xf numFmtId="169" fontId="10" fillId="0" borderId="2" applyAlignment="1" pivotButton="0" quotePrefix="0" xfId="0">
      <alignment horizontal="right"/>
    </xf>
    <xf numFmtId="169" fontId="3" fillId="4" borderId="2" applyAlignment="1" pivotButton="0" quotePrefix="0" xfId="0">
      <alignment horizontal="right"/>
    </xf>
    <xf numFmtId="0" fontId="0" fillId="0" borderId="2" applyAlignment="1" pivotButton="0" quotePrefix="0" xfId="0">
      <alignment horizontal="right"/>
    </xf>
    <xf numFmtId="170" fontId="10" fillId="0" borderId="2" applyAlignment="1" pivotButton="0" quotePrefix="0" xfId="0">
      <alignment horizontal="right"/>
    </xf>
    <xf numFmtId="170" fontId="3" fillId="4" borderId="2" applyAlignment="1" pivotButton="0" quotePrefix="0" xfId="0">
      <alignment horizontal="right"/>
    </xf>
    <xf numFmtId="166" fontId="10" fillId="0" borderId="2" applyAlignment="1" pivotButton="0" quotePrefix="0" xfId="0">
      <alignment horizontal="right"/>
    </xf>
    <xf numFmtId="10" fontId="10" fillId="0" borderId="2" applyAlignment="1" pivotButton="0" quotePrefix="0" xfId="0">
      <alignment horizontal="right"/>
    </xf>
    <xf numFmtId="10" fontId="3" fillId="4" borderId="2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left" wrapText="1"/>
    </xf>
    <xf numFmtId="0" fontId="4" fillId="2" borderId="0" applyAlignment="1" pivotButton="0" quotePrefix="0" xfId="0">
      <alignment horizontal="right" wrapText="1"/>
    </xf>
    <xf numFmtId="1" fontId="5" fillId="0" borderId="2" applyAlignment="1" pivotButton="0" quotePrefix="0" xfId="0">
      <alignment horizontal="right"/>
    </xf>
    <xf numFmtId="3" fontId="5" fillId="0" borderId="2" applyAlignment="1" pivotButton="0" quotePrefix="0" xfId="0">
      <alignment horizontal="right"/>
    </xf>
    <xf numFmtId="170" fontId="5" fillId="0" borderId="2" applyAlignment="1" pivotButton="0" quotePrefix="0" xfId="0">
      <alignment horizontal="right"/>
    </xf>
    <xf numFmtId="169" fontId="5" fillId="0" borderId="2" applyAlignment="1" pivotButton="0" quotePrefix="0" xfId="0">
      <alignment horizontal="right"/>
    </xf>
    <xf numFmtId="10" fontId="5" fillId="0" borderId="2" applyAlignment="1" pivotButton="0" quotePrefix="0" xfId="0">
      <alignment horizontal="right"/>
    </xf>
    <xf numFmtId="0" fontId="11" fillId="0" borderId="0" pivotButton="0" quotePrefix="0" xfId="0"/>
    <xf numFmtId="171" fontId="5" fillId="0" borderId="2" pivotButton="0" quotePrefix="0" xfId="0"/>
    <xf numFmtId="0" fontId="1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165" fontId="3" fillId="0" borderId="0" pivotButton="0" quotePrefix="0" xfId="0"/>
    <xf numFmtId="3" fontId="3" fillId="0" borderId="0" pivotButton="0" quotePrefix="0" xfId="0"/>
    <xf numFmtId="4" fontId="3" fillId="0" borderId="0" pivotButton="0" quotePrefix="0" xfId="0"/>
    <xf numFmtId="3" fontId="5" fillId="0" borderId="0" pivotButton="0" quotePrefix="0" xfId="0"/>
    <xf numFmtId="166" fontId="5" fillId="0" borderId="0" pivotButton="0" quotePrefix="0" xfId="0"/>
    <xf numFmtId="1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217346"/>
      </font>
    </dxf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Spend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'Dashboard'!D41</f>
            </strRef>
          </tx>
          <spPr>
            <a:solidFill>
              <a:srgbClr val="217346"/>
            </a:solidFill>
            <a:ln>
              <a:prstDash val="solid"/>
            </a:ln>
          </spPr>
          <cat>
            <numRef>
              <f>'Dashboard'!$B$42:$B$53</f>
            </numRef>
          </cat>
          <val>
            <numRef>
              <f>'Dashboard'!$D$42:$D$53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On-time delivery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'Dashboard'!E41</f>
            </strRef>
          </tx>
          <spPr>
            <a:ln w="28000">
              <a:solidFill>
                <a:srgbClr val="21734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'Dashboard'!$B$42:$B$53</f>
            </numRef>
          </cat>
          <val>
            <numRef>
              <f>'Dashboard'!$E$42:$E$53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NonStopExcel</author>
  </authors>
  <commentList>
    <comment ref="B12" authorId="0" shapeId="0">
      <text>
        <t>Average days from requisition to purchase order.</t>
      </text>
    </comment>
    <comment ref="B13" authorId="0" shapeId="0">
      <text>
        <t>Delivered POs that arrived on or before the promised date.</t>
      </text>
    </comment>
    <comment ref="B14" authorId="0" shapeId="0">
      <text>
        <t>Share of spend that went through procurement.</t>
      </text>
    </comment>
    <comment ref="B15" authorId="0" shapeId="0">
      <text>
        <t>Average days from purchase order to delivery (delivered POs only).</t>
      </text>
    </comment>
    <comment ref="B16" authorId="0" shapeId="0">
      <text>
        <t>Baseline cost minus actual cost (baseline = budget or last agreed price).</t>
      </text>
    </comment>
    <comment ref="B17" authorId="0" shapeId="0">
      <text>
        <t>Cost savings as a share of baseline cost.</t>
      </text>
    </comment>
    <comment ref="B18" authorId="0" shapeId="0">
      <text>
        <t>POs placed on an approved contract or price list.</t>
      </text>
    </comment>
    <comment ref="B19" authorId="0" shapeId="0">
      <text>
        <t>Rejected units as a share of received units.</t>
      </text>
    </comment>
    <comment ref="B20" authorId="0" shapeId="0">
      <text>
        <t>Unplanned, urgent POs as a share of all POs.</t>
      </text>
    </comment>
  </commentList>
</comments>
</file>

<file path=xl/comments/comment2.xml><?xml version="1.0" encoding="utf-8"?>
<comments xmlns="http://schemas.openxmlformats.org/spreadsheetml/2006/main">
  <authors>
    <author>NonStopExcel</author>
  </authors>
  <commentList>
    <comment ref="A1" authorId="0" shapeId="0">
      <text>
        <t>Blue columns: your data (paste or type). Grey-green columns: calculated, don't type in them. Type in the first empty row under the table and Excel extends it, formulas included.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39</row>
      <rowOff>0</rowOff>
    </from>
    <ext cx="540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54</row>
      <rowOff>0</rowOff>
    </from>
    <ext cx="540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OData" displayName="POData" ref="A1:V161" headerRowCount="1">
  <autoFilter ref="A1:V161"/>
  <tableColumns count="22">
    <tableColumn id="1" name="PO Number"/>
    <tableColumn id="2" name="Supplier"/>
    <tableColumn id="3" name="Category"/>
    <tableColumn id="4" name="Requisition Date"/>
    <tableColumn id="5" name="PO Date"/>
    <tableColumn id="6" name="Promised Date"/>
    <tableColumn id="7" name="Delivery Date"/>
    <tableColumn id="8" name="Qty Ordered"/>
    <tableColumn id="9" name="Qty Received"/>
    <tableColumn id="10" name="Qty Rejected"/>
    <tableColumn id="11" name="Unit Price"/>
    <tableColumn id="12" name="Baseline Unit Price"/>
    <tableColumn id="13" name="On Contract"/>
    <tableColumn id="14" name="Managed by Procurement"/>
    <tableColumn id="15" name="Emergency"/>
    <tableColumn id="16" name="Total Cost">
      <calculatedColumnFormula>POData[[#This Row],[Qty Ordered]]*POData[[#This Row],[Unit Price]]</calculatedColumnFormula>
    </tableColumn>
    <tableColumn id="17" name="Baseline Cost">
      <calculatedColumnFormula>POData[[#This Row],[Qty Ordered]]*POData[[#This Row],[Baseline Unit Price]]</calculatedColumnFormula>
    </tableColumn>
    <tableColumn id="18" name="Savings">
      <calculatedColumnFormula>POData[[#This Row],[Baseline Cost]]-POData[[#This Row],[Total Cost]]</calculatedColumnFormula>
    </tableColumn>
    <tableColumn id="19" name="PO Cycle Days">
      <calculatedColumnFormula>POData[[#This Row],[PO Date]]-POData[[#This Row],[Requisition Date]]</calculatedColumnFormula>
    </tableColumn>
    <tableColumn id="20" name="Lead Time Days">
      <calculatedColumnFormula>IF(POData[[#This Row],[Delivery Date]]="","",POData[[#This Row],[Delivery Date]]-POData[[#This Row],[PO Date]])</calculatedColumnFormula>
    </tableColumn>
    <tableColumn id="21" name="On Time">
      <calculatedColumnFormula>IF(POData[[#This Row],[Delivery Date]]="","",IF(POData[[#This Row],[Delivery Date]]&lt;=POData[[#This Row],[Promised Date]],1,0))</calculatedColumnFormula>
    </tableColumn>
    <tableColumn id="22" name="Month">
      <calculatedColumnFormula>DATE(YEAR(POData[[#This Row],[PO Date]]),MONTH(POData[[#This Row],[PO Date]]),1)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onstopexcel.com/articles/procurement-kpi-dashboard-excel" TargetMode="External" Id="rId1" /><Relationship Type="http://schemas.openxmlformats.org/officeDocument/2006/relationships/drawing" Target="/xl/drawings/drawing1.xml" Id="rId2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nonstopexcel.com/services/excel-dashboa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tabColor rgb="00217346"/>
    <outlinePr summaryBelow="1" summaryRight="1"/>
    <pageSetUpPr/>
  </sheetPr>
  <dimension ref="B2:J5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4" customWidth="1" min="5" max="5"/>
    <col width="3" customWidth="1" min="6" max="6"/>
    <col width="24" customWidth="1" min="7" max="7"/>
    <col width="13" customWidth="1" min="8" max="8"/>
    <col width="13" customWidth="1" min="9" max="9"/>
    <col width="13" customWidth="1" min="10" max="10"/>
  </cols>
  <sheetData>
    <row r="2">
      <c r="B2" s="1" t="inlineStr">
        <is>
          <t>Procurement KPI Dashboard</t>
        </is>
      </c>
    </row>
    <row r="3">
      <c r="B3" s="2" t="inlineStr">
        <is>
          <t>Free template from NonStopExcel · nonstopexcel.com</t>
        </is>
      </c>
    </row>
    <row r="5">
      <c r="B5" s="3" t="inlineStr">
        <is>
          <t>FILTERS</t>
        </is>
      </c>
    </row>
    <row r="6">
      <c r="B6" s="4" t="inlineStr">
        <is>
          <t>Supplier</t>
        </is>
      </c>
      <c r="C6" s="5" t="inlineStr">
        <is>
          <t>All</t>
        </is>
      </c>
      <c r="D6" s="6" t="inlineStr">
        <is>
          <t>← pick from the list</t>
        </is>
      </c>
      <c r="G6" s="6" t="inlineStr">
        <is>
          <t>Yellow cells are settings: change the filters on the left and the targets in the Target column.</t>
        </is>
      </c>
    </row>
    <row r="7">
      <c r="B7" s="4" t="inlineStr">
        <is>
          <t>Category</t>
        </is>
      </c>
      <c r="C7" s="5" t="inlineStr">
        <is>
          <t>All</t>
        </is>
      </c>
      <c r="G7" s="6" t="inlineStr">
        <is>
          <t>Hover over a KPI name to see how it's calculated.</t>
        </is>
      </c>
    </row>
    <row r="8">
      <c r="B8" s="4" t="inlineStr">
        <is>
          <t>PO date from</t>
        </is>
      </c>
      <c r="C8" s="7" t="n">
        <v>45931</v>
      </c>
    </row>
    <row r="9">
      <c r="B9" s="4" t="inlineStr">
        <is>
          <t>PO date to</t>
        </is>
      </c>
      <c r="C9" s="7" t="n">
        <v>46295</v>
      </c>
    </row>
    <row r="11">
      <c r="B11" s="8" t="inlineStr">
        <is>
          <t>KPI</t>
        </is>
      </c>
      <c r="C11" s="9" t="inlineStr">
        <is>
          <t>Value</t>
        </is>
      </c>
      <c r="D11" s="9" t="inlineStr">
        <is>
          <t>Target</t>
        </is>
      </c>
      <c r="E11" s="9" t="inlineStr">
        <is>
          <t>Status</t>
        </is>
      </c>
    </row>
    <row r="12">
      <c r="B12" s="10" t="inlineStr">
        <is>
          <t>PO Cycle Time (days)</t>
        </is>
      </c>
      <c r="C12" s="11">
        <f>IFERROR(AVERAGEIFS('PO Data'!$S$2:$S$1001,'PO Data'!$B$2:$B$1001,IF($C$6="All","*",$C$6),'PO Data'!$C$2:$C$1001,IF($C$7="All","*",$C$7),'PO Data'!$E$2:$E$1001,"&gt;="&amp;$C$8,'PO Data'!$E$2:$E$1001,"&lt;="&amp;$C$9),"")</f>
        <v/>
      </c>
      <c r="D12" s="12" t="n">
        <v>5</v>
      </c>
      <c r="E12" s="13">
        <f>IF(C12="","",IF(C12&lt;=D12,"On target","Off target"))</f>
        <v/>
      </c>
    </row>
    <row r="13">
      <c r="B13" s="10" t="inlineStr">
        <is>
          <t>On-Time Delivery Rate</t>
        </is>
      </c>
      <c r="C13" s="14">
        <f>IFERROR(SUMIFS('PO Data'!$U$2:$U$1001,'PO Data'!$B$2:$B$1001,IF($C$6="All","*",$C$6),'PO Data'!$C$2:$C$1001,IF($C$7="All","*",$C$7),'PO Data'!$E$2:$E$1001,"&gt;="&amp;$C$8,'PO Data'!$E$2:$E$1001,"&lt;="&amp;$C$9)/COUNTIFS('PO Data'!$B$2:$B$1001,IF($C$6="All","*",$C$6),'PO Data'!$C$2:$C$1001,IF($C$7="All","*",$C$7),'PO Data'!$E$2:$E$1001,"&gt;="&amp;$C$8,'PO Data'!$E$2:$E$1001,"&lt;="&amp;$C$9,'PO Data'!$U$2:$U$1001,"&gt;=0"),"")</f>
        <v/>
      </c>
      <c r="D13" s="15" t="n">
        <v>0.95</v>
      </c>
      <c r="E13" s="13">
        <f>IF(C13="","",IF(C13&gt;=D13,"On target","Off target"))</f>
        <v/>
      </c>
    </row>
    <row r="14">
      <c r="B14" s="10" t="inlineStr">
        <is>
          <t>Spend Under Management</t>
        </is>
      </c>
      <c r="C14" s="14">
        <f>IFERROR(SUMIFS('PO Data'!$P$2:$P$1001,'PO Data'!$B$2:$B$1001,IF($C$6="All","*",$C$6),'PO Data'!$C$2:$C$1001,IF($C$7="All","*",$C$7),'PO Data'!$E$2:$E$1001,"&gt;="&amp;$C$8,'PO Data'!$E$2:$E$1001,"&lt;="&amp;$C$9,'PO Data'!$N$2:$N$1001,"Y")/SUMIFS('PO Data'!$P$2:$P$1001,'PO Data'!$B$2:$B$1001,IF($C$6="All","*",$C$6),'PO Data'!$C$2:$C$1001,IF($C$7="All","*",$C$7),'PO Data'!$E$2:$E$1001,"&gt;="&amp;$C$8,'PO Data'!$E$2:$E$1001,"&lt;="&amp;$C$9),"")</f>
        <v/>
      </c>
      <c r="D14" s="15" t="n">
        <v>0.85</v>
      </c>
      <c r="E14" s="13">
        <f>IF(C14="","",IF(C14&gt;=D14,"On target","Off target"))</f>
        <v/>
      </c>
    </row>
    <row r="15">
      <c r="B15" s="10" t="inlineStr">
        <is>
          <t>Supplier Lead Time (days)</t>
        </is>
      </c>
      <c r="C15" s="11">
        <f>IFERROR(AVERAGEIFS('PO Data'!$T$2:$T$1001,'PO Data'!$B$2:$B$1001,IF($C$6="All","*",$C$6),'PO Data'!$C$2:$C$1001,IF($C$7="All","*",$C$7),'PO Data'!$E$2:$E$1001,"&gt;="&amp;$C$8,'PO Data'!$E$2:$E$1001,"&lt;="&amp;$C$9,'PO Data'!$T$2:$T$1001,"&gt;=0"),"")</f>
        <v/>
      </c>
      <c r="D15" s="12" t="n">
        <v>12</v>
      </c>
      <c r="E15" s="13">
        <f>IF(C15="","",IF(C15&lt;=D15,"On target","Off target"))</f>
        <v/>
      </c>
    </row>
    <row r="16">
      <c r="B16" s="10" t="inlineStr">
        <is>
          <t>Cost Savings</t>
        </is>
      </c>
      <c r="C16" s="16">
        <f>SUMIFS('PO Data'!$R$2:$R$1001,'PO Data'!$B$2:$B$1001,IF($C$6="All","*",$C$6),'PO Data'!$C$2:$C$1001,IF($C$7="All","*",$C$7),'PO Data'!$E$2:$E$1001,"&gt;="&amp;$C$8,'PO Data'!$E$2:$E$1001,"&lt;="&amp;$C$9)</f>
        <v/>
      </c>
      <c r="D16" s="13" t="inlineStr">
        <is>
          <t>–</t>
        </is>
      </c>
      <c r="E16" s="13" t="inlineStr"/>
    </row>
    <row r="17">
      <c r="B17" s="10" t="inlineStr">
        <is>
          <t>Savings vs Baseline</t>
        </is>
      </c>
      <c r="C17" s="14">
        <f>IFERROR(SUMIFS('PO Data'!$R$2:$R$1001,'PO Data'!$B$2:$B$1001,IF($C$6="All","*",$C$6),'PO Data'!$C$2:$C$1001,IF($C$7="All","*",$C$7),'PO Data'!$E$2:$E$1001,"&gt;="&amp;$C$8,'PO Data'!$E$2:$E$1001,"&lt;="&amp;$C$9)/SUMIFS('PO Data'!$Q$2:$Q$1001,'PO Data'!$B$2:$B$1001,IF($C$6="All","*",$C$6),'PO Data'!$C$2:$C$1001,IF($C$7="All","*",$C$7),'PO Data'!$E$2:$E$1001,"&gt;="&amp;$C$8,'PO Data'!$E$2:$E$1001,"&lt;="&amp;$C$9),"")</f>
        <v/>
      </c>
      <c r="D17" s="15" t="n">
        <v>0.05</v>
      </c>
      <c r="E17" s="13">
        <f>IF(C17="","",IF(C17&gt;=D17,"On target","Off target"))</f>
        <v/>
      </c>
    </row>
    <row r="18">
      <c r="B18" s="10" t="inlineStr">
        <is>
          <t>Compliance Rate</t>
        </is>
      </c>
      <c r="C18" s="14">
        <f>IFERROR(COUNTIFS('PO Data'!$B$2:$B$1001,IF($C$6="All","*",$C$6),'PO Data'!$C$2:$C$1001,IF($C$7="All","*",$C$7),'PO Data'!$E$2:$E$1001,"&gt;="&amp;$C$8,'PO Data'!$E$2:$E$1001,"&lt;="&amp;$C$9,'PO Data'!$M$2:$M$1001,"Y")/COUNTIFS('PO Data'!$B$2:$B$1001,IF($C$6="All","*",$C$6),'PO Data'!$C$2:$C$1001,IF($C$7="All","*",$C$7),'PO Data'!$E$2:$E$1001,"&gt;="&amp;$C$8,'PO Data'!$E$2:$E$1001,"&lt;="&amp;$C$9),"")</f>
        <v/>
      </c>
      <c r="D18" s="15" t="n">
        <v>0.9</v>
      </c>
      <c r="E18" s="13">
        <f>IF(C18="","",IF(C18&gt;=D18,"On target","Off target"))</f>
        <v/>
      </c>
    </row>
    <row r="19">
      <c r="B19" s="10" t="inlineStr">
        <is>
          <t>Supplier Defect Rate</t>
        </is>
      </c>
      <c r="C19" s="17">
        <f>IFERROR(SUMIFS('PO Data'!$J$2:$J$1001,'PO Data'!$B$2:$B$1001,IF($C$6="All","*",$C$6),'PO Data'!$C$2:$C$1001,IF($C$7="All","*",$C$7),'PO Data'!$E$2:$E$1001,"&gt;="&amp;$C$8,'PO Data'!$E$2:$E$1001,"&lt;="&amp;$C$9)/SUMIFS('PO Data'!$I$2:$I$1001,'PO Data'!$B$2:$B$1001,IF($C$6="All","*",$C$6),'PO Data'!$C$2:$C$1001,IF($C$7="All","*",$C$7),'PO Data'!$E$2:$E$1001,"&gt;="&amp;$C$8,'PO Data'!$E$2:$E$1001,"&lt;="&amp;$C$9),"")</f>
        <v/>
      </c>
      <c r="D19" s="18" t="n">
        <v>0.02</v>
      </c>
      <c r="E19" s="13">
        <f>IF(C19="","",IF(C19&lt;=D19,"On target","Off target"))</f>
        <v/>
      </c>
    </row>
    <row r="20">
      <c r="B20" s="10" t="inlineStr">
        <is>
          <t>Emergency Purchase Ratio</t>
        </is>
      </c>
      <c r="C20" s="14">
        <f>IFERROR(COUNTIFS('PO Data'!$B$2:$B$1001,IF($C$6="All","*",$C$6),'PO Data'!$C$2:$C$1001,IF($C$7="All","*",$C$7),'PO Data'!$E$2:$E$1001,"&gt;="&amp;$C$8,'PO Data'!$E$2:$E$1001,"&lt;="&amp;$C$9,'PO Data'!$O$2:$O$1001,"Y")/COUNTIFS('PO Data'!$B$2:$B$1001,IF($C$6="All","*",$C$6),'PO Data'!$C$2:$C$1001,IF($C$7="All","*",$C$7),'PO Data'!$E$2:$E$1001,"&gt;="&amp;$C$8,'PO Data'!$E$2:$E$1001,"&lt;="&amp;$C$9),"")</f>
        <v/>
      </c>
      <c r="D20" s="15" t="n">
        <v>0.1</v>
      </c>
      <c r="E20" s="13">
        <f>IF(C20="","",IF(C20&lt;=D20,"On target","Off target"))</f>
        <v/>
      </c>
    </row>
    <row r="21">
      <c r="B21" s="2" t="inlineStr">
        <is>
          <t>POs in selection</t>
        </is>
      </c>
      <c r="C21" s="19">
        <f>COUNTIFS('PO Data'!$B$2:$B$1001,IF($C$6="All","*",$C$6),'PO Data'!$C$2:$C$1001,IF($C$7="All","*",$C$7),'PO Data'!$E$2:$E$1001,"&gt;="&amp;$C$8,'PO Data'!$E$2:$E$1001,"&lt;="&amp;$C$9)</f>
        <v/>
      </c>
    </row>
    <row r="22">
      <c r="B22" s="2" t="inlineStr">
        <is>
          <t>Spend in selection</t>
        </is>
      </c>
      <c r="C22" s="20">
        <f>SUMIFS('PO Data'!$P$2:$P$1001,'PO Data'!$B$2:$B$1001,IF($C$6="All","*",$C$6),'PO Data'!$C$2:$C$1001,IF($C$7="All","*",$C$7),'PO Data'!$E$2:$E$1001,"&gt;="&amp;$C$8,'PO Data'!$E$2:$E$1001,"&lt;="&amp;$C$9)</f>
        <v/>
      </c>
    </row>
    <row r="24">
      <c r="B24" s="3" t="inlineStr">
        <is>
          <t>SUPPLIER SCORECARD</t>
        </is>
      </c>
    </row>
    <row r="25">
      <c r="B25" s="21" t="inlineStr">
        <is>
          <t>Supplier</t>
        </is>
      </c>
      <c r="C25" s="22" t="inlineStr">
        <is>
          <t>POs</t>
        </is>
      </c>
      <c r="D25" s="22" t="inlineStr">
        <is>
          <t>Spend</t>
        </is>
      </c>
      <c r="E25" s="22" t="inlineStr">
        <is>
          <t>On-time %</t>
        </is>
      </c>
      <c r="G25" s="22" t="inlineStr">
        <is>
          <t>Lead time (days)</t>
        </is>
      </c>
      <c r="H25" s="22" t="inlineStr">
        <is>
          <t>Defect %</t>
        </is>
      </c>
      <c r="I25" s="22" t="inlineStr">
        <is>
          <t>Emergency %</t>
        </is>
      </c>
      <c r="J25" s="22" t="inlineStr">
        <is>
          <t>Compliance %</t>
        </is>
      </c>
    </row>
    <row r="26">
      <c r="B26" s="10">
        <f>IF(INDEX(SupplierList,1)="","",INDEX(SupplierList,1))</f>
        <v/>
      </c>
      <c r="C26" s="23">
        <f>IF($B26="","",COUNTIFS('PO Data'!$B$2:$B$1001,$B26,'PO Data'!$C$2:$C$1001,IF($C$7="All","*",$C$7),'PO Data'!$E$2:$E$1001,"&gt;="&amp;$C$8,'PO Data'!$E$2:$E$1001,"&lt;="&amp;$C$9))</f>
        <v/>
      </c>
      <c r="D26" s="24">
        <f>IF($B26="","",SUMIFS('PO Data'!$P$2:$P$1001,'PO Data'!$B$2:$B$1001,$B26,'PO Data'!$C$2:$C$1001,IF($C$7="All","*",$C$7),'PO Data'!$E$2:$E$1001,"&gt;="&amp;$C$8,'PO Data'!$E$2:$E$1001,"&lt;="&amp;$C$9))</f>
        <v/>
      </c>
      <c r="E26" s="25">
        <f>IF($B26="","",IFERROR(SUMIFS('PO Data'!$U$2:$U$1001,'PO Data'!$B$2:$B$1001,$B26,'PO Data'!$C$2:$C$1001,IF($C$7="All","*",$C$7),'PO Data'!$E$2:$E$1001,"&gt;="&amp;$C$8,'PO Data'!$E$2:$E$1001,"&lt;="&amp;$C$9)/COUNTIFS('PO Data'!$B$2:$B$1001,$B26,'PO Data'!$C$2:$C$1001,IF($C$7="All","*",$C$7),'PO Data'!$E$2:$E$1001,"&gt;="&amp;$C$8,'PO Data'!$E$2:$E$1001,"&lt;="&amp;$C$9,'PO Data'!$U$2:$U$1001,"&gt;=0"),""))</f>
        <v/>
      </c>
      <c r="G26" s="26">
        <f>IF($B26="","",IFERROR(AVERAGEIFS('PO Data'!$T$2:$T$1001,'PO Data'!$B$2:$B$1001,$B26,'PO Data'!$C$2:$C$1001,IF($C$7="All","*",$C$7),'PO Data'!$E$2:$E$1001,"&gt;="&amp;$C$8,'PO Data'!$E$2:$E$1001,"&lt;="&amp;$C$9,'PO Data'!$T$2:$T$1001,"&gt;=0"),""))</f>
        <v/>
      </c>
      <c r="H26" s="27">
        <f>IF($B26="","",IFERROR(SUMIFS('PO Data'!$J$2:$J$1001,'PO Data'!$B$2:$B$1001,$B26,'PO Data'!$C$2:$C$1001,IF($C$7="All","*",$C$7),'PO Data'!$E$2:$E$1001,"&gt;="&amp;$C$8,'PO Data'!$E$2:$E$1001,"&lt;="&amp;$C$9)/SUMIFS('PO Data'!$I$2:$I$1001,'PO Data'!$B$2:$B$1001,$B26,'PO Data'!$C$2:$C$1001,IF($C$7="All","*",$C$7),'PO Data'!$E$2:$E$1001,"&gt;="&amp;$C$8,'PO Data'!$E$2:$E$1001,"&lt;="&amp;$C$9),""))</f>
        <v/>
      </c>
      <c r="I26" s="25">
        <f>IF($B26="","",IFERROR(COUNTIFS('PO Data'!$B$2:$B$1001,$B26,'PO Data'!$C$2:$C$1001,IF($C$7="All","*",$C$7),'PO Data'!$E$2:$E$1001,"&gt;="&amp;$C$8,'PO Data'!$E$2:$E$1001,"&lt;="&amp;$C$9,'PO Data'!$O$2:$O$1001,"Y")/COUNTIFS('PO Data'!$B$2:$B$1001,$B26,'PO Data'!$C$2:$C$1001,IF($C$7="All","*",$C$7),'PO Data'!$E$2:$E$1001,"&gt;="&amp;$C$8,'PO Data'!$E$2:$E$1001,"&lt;="&amp;$C$9),""))</f>
        <v/>
      </c>
      <c r="J26" s="25">
        <f>IF($B26="","",IFERROR(COUNTIFS('PO Data'!$B$2:$B$1001,$B26,'PO Data'!$C$2:$C$1001,IF($C$7="All","*",$C$7),'PO Data'!$E$2:$E$1001,"&gt;="&amp;$C$8,'PO Data'!$E$2:$E$1001,"&lt;="&amp;$C$9,'PO Data'!$M$2:$M$1001,"Y")/COUNTIFS('PO Data'!$B$2:$B$1001,$B26,'PO Data'!$C$2:$C$1001,IF($C$7="All","*",$C$7),'PO Data'!$E$2:$E$1001,"&gt;="&amp;$C$8,'PO Data'!$E$2:$E$1001,"&lt;="&amp;$C$9),""))</f>
        <v/>
      </c>
    </row>
    <row r="27">
      <c r="B27" s="10">
        <f>IF(INDEX(SupplierList,2)="","",INDEX(SupplierList,2))</f>
        <v/>
      </c>
      <c r="C27" s="23">
        <f>IF($B27="","",COUNTIFS('PO Data'!$B$2:$B$1001,$B27,'PO Data'!$C$2:$C$1001,IF($C$7="All","*",$C$7),'PO Data'!$E$2:$E$1001,"&gt;="&amp;$C$8,'PO Data'!$E$2:$E$1001,"&lt;="&amp;$C$9))</f>
        <v/>
      </c>
      <c r="D27" s="24">
        <f>IF($B27="","",SUMIFS('PO Data'!$P$2:$P$1001,'PO Data'!$B$2:$B$1001,$B27,'PO Data'!$C$2:$C$1001,IF($C$7="All","*",$C$7),'PO Data'!$E$2:$E$1001,"&gt;="&amp;$C$8,'PO Data'!$E$2:$E$1001,"&lt;="&amp;$C$9))</f>
        <v/>
      </c>
      <c r="E27" s="25">
        <f>IF($B27="","",IFERROR(SUMIFS('PO Data'!$U$2:$U$1001,'PO Data'!$B$2:$B$1001,$B27,'PO Data'!$C$2:$C$1001,IF($C$7="All","*",$C$7),'PO Data'!$E$2:$E$1001,"&gt;="&amp;$C$8,'PO Data'!$E$2:$E$1001,"&lt;="&amp;$C$9)/COUNTIFS('PO Data'!$B$2:$B$1001,$B27,'PO Data'!$C$2:$C$1001,IF($C$7="All","*",$C$7),'PO Data'!$E$2:$E$1001,"&gt;="&amp;$C$8,'PO Data'!$E$2:$E$1001,"&lt;="&amp;$C$9,'PO Data'!$U$2:$U$1001,"&gt;=0"),""))</f>
        <v/>
      </c>
      <c r="G27" s="26">
        <f>IF($B27="","",IFERROR(AVERAGEIFS('PO Data'!$T$2:$T$1001,'PO Data'!$B$2:$B$1001,$B27,'PO Data'!$C$2:$C$1001,IF($C$7="All","*",$C$7),'PO Data'!$E$2:$E$1001,"&gt;="&amp;$C$8,'PO Data'!$E$2:$E$1001,"&lt;="&amp;$C$9,'PO Data'!$T$2:$T$1001,"&gt;=0"),""))</f>
        <v/>
      </c>
      <c r="H27" s="27">
        <f>IF($B27="","",IFERROR(SUMIFS('PO Data'!$J$2:$J$1001,'PO Data'!$B$2:$B$1001,$B27,'PO Data'!$C$2:$C$1001,IF($C$7="All","*",$C$7),'PO Data'!$E$2:$E$1001,"&gt;="&amp;$C$8,'PO Data'!$E$2:$E$1001,"&lt;="&amp;$C$9)/SUMIFS('PO Data'!$I$2:$I$1001,'PO Data'!$B$2:$B$1001,$B27,'PO Data'!$C$2:$C$1001,IF($C$7="All","*",$C$7),'PO Data'!$E$2:$E$1001,"&gt;="&amp;$C$8,'PO Data'!$E$2:$E$1001,"&lt;="&amp;$C$9),""))</f>
        <v/>
      </c>
      <c r="I27" s="25">
        <f>IF($B27="","",IFERROR(COUNTIFS('PO Data'!$B$2:$B$1001,$B27,'PO Data'!$C$2:$C$1001,IF($C$7="All","*",$C$7),'PO Data'!$E$2:$E$1001,"&gt;="&amp;$C$8,'PO Data'!$E$2:$E$1001,"&lt;="&amp;$C$9,'PO Data'!$O$2:$O$1001,"Y")/COUNTIFS('PO Data'!$B$2:$B$1001,$B27,'PO Data'!$C$2:$C$1001,IF($C$7="All","*",$C$7),'PO Data'!$E$2:$E$1001,"&gt;="&amp;$C$8,'PO Data'!$E$2:$E$1001,"&lt;="&amp;$C$9),""))</f>
        <v/>
      </c>
      <c r="J27" s="25">
        <f>IF($B27="","",IFERROR(COUNTIFS('PO Data'!$B$2:$B$1001,$B27,'PO Data'!$C$2:$C$1001,IF($C$7="All","*",$C$7),'PO Data'!$E$2:$E$1001,"&gt;="&amp;$C$8,'PO Data'!$E$2:$E$1001,"&lt;="&amp;$C$9,'PO Data'!$M$2:$M$1001,"Y")/COUNTIFS('PO Data'!$B$2:$B$1001,$B27,'PO Data'!$C$2:$C$1001,IF($C$7="All","*",$C$7),'PO Data'!$E$2:$E$1001,"&gt;="&amp;$C$8,'PO Data'!$E$2:$E$1001,"&lt;="&amp;$C$9),""))</f>
        <v/>
      </c>
    </row>
    <row r="28">
      <c r="B28" s="10">
        <f>IF(INDEX(SupplierList,3)="","",INDEX(SupplierList,3))</f>
        <v/>
      </c>
      <c r="C28" s="23">
        <f>IF($B28="","",COUNTIFS('PO Data'!$B$2:$B$1001,$B28,'PO Data'!$C$2:$C$1001,IF($C$7="All","*",$C$7),'PO Data'!$E$2:$E$1001,"&gt;="&amp;$C$8,'PO Data'!$E$2:$E$1001,"&lt;="&amp;$C$9))</f>
        <v/>
      </c>
      <c r="D28" s="24">
        <f>IF($B28="","",SUMIFS('PO Data'!$P$2:$P$1001,'PO Data'!$B$2:$B$1001,$B28,'PO Data'!$C$2:$C$1001,IF($C$7="All","*",$C$7),'PO Data'!$E$2:$E$1001,"&gt;="&amp;$C$8,'PO Data'!$E$2:$E$1001,"&lt;="&amp;$C$9))</f>
        <v/>
      </c>
      <c r="E28" s="25">
        <f>IF($B28="","",IFERROR(SUMIFS('PO Data'!$U$2:$U$1001,'PO Data'!$B$2:$B$1001,$B28,'PO Data'!$C$2:$C$1001,IF($C$7="All","*",$C$7),'PO Data'!$E$2:$E$1001,"&gt;="&amp;$C$8,'PO Data'!$E$2:$E$1001,"&lt;="&amp;$C$9)/COUNTIFS('PO Data'!$B$2:$B$1001,$B28,'PO Data'!$C$2:$C$1001,IF($C$7="All","*",$C$7),'PO Data'!$E$2:$E$1001,"&gt;="&amp;$C$8,'PO Data'!$E$2:$E$1001,"&lt;="&amp;$C$9,'PO Data'!$U$2:$U$1001,"&gt;=0"),""))</f>
        <v/>
      </c>
      <c r="G28" s="26">
        <f>IF($B28="","",IFERROR(AVERAGEIFS('PO Data'!$T$2:$T$1001,'PO Data'!$B$2:$B$1001,$B28,'PO Data'!$C$2:$C$1001,IF($C$7="All","*",$C$7),'PO Data'!$E$2:$E$1001,"&gt;="&amp;$C$8,'PO Data'!$E$2:$E$1001,"&lt;="&amp;$C$9,'PO Data'!$T$2:$T$1001,"&gt;=0"),""))</f>
        <v/>
      </c>
      <c r="H28" s="27">
        <f>IF($B28="","",IFERROR(SUMIFS('PO Data'!$J$2:$J$1001,'PO Data'!$B$2:$B$1001,$B28,'PO Data'!$C$2:$C$1001,IF($C$7="All","*",$C$7),'PO Data'!$E$2:$E$1001,"&gt;="&amp;$C$8,'PO Data'!$E$2:$E$1001,"&lt;="&amp;$C$9)/SUMIFS('PO Data'!$I$2:$I$1001,'PO Data'!$B$2:$B$1001,$B28,'PO Data'!$C$2:$C$1001,IF($C$7="All","*",$C$7),'PO Data'!$E$2:$E$1001,"&gt;="&amp;$C$8,'PO Data'!$E$2:$E$1001,"&lt;="&amp;$C$9),""))</f>
        <v/>
      </c>
      <c r="I28" s="25">
        <f>IF($B28="","",IFERROR(COUNTIFS('PO Data'!$B$2:$B$1001,$B28,'PO Data'!$C$2:$C$1001,IF($C$7="All","*",$C$7),'PO Data'!$E$2:$E$1001,"&gt;="&amp;$C$8,'PO Data'!$E$2:$E$1001,"&lt;="&amp;$C$9,'PO Data'!$O$2:$O$1001,"Y")/COUNTIFS('PO Data'!$B$2:$B$1001,$B28,'PO Data'!$C$2:$C$1001,IF($C$7="All","*",$C$7),'PO Data'!$E$2:$E$1001,"&gt;="&amp;$C$8,'PO Data'!$E$2:$E$1001,"&lt;="&amp;$C$9),""))</f>
        <v/>
      </c>
      <c r="J28" s="25">
        <f>IF($B28="","",IFERROR(COUNTIFS('PO Data'!$B$2:$B$1001,$B28,'PO Data'!$C$2:$C$1001,IF($C$7="All","*",$C$7),'PO Data'!$E$2:$E$1001,"&gt;="&amp;$C$8,'PO Data'!$E$2:$E$1001,"&lt;="&amp;$C$9,'PO Data'!$M$2:$M$1001,"Y")/COUNTIFS('PO Data'!$B$2:$B$1001,$B28,'PO Data'!$C$2:$C$1001,IF($C$7="All","*",$C$7),'PO Data'!$E$2:$E$1001,"&gt;="&amp;$C$8,'PO Data'!$E$2:$E$1001,"&lt;="&amp;$C$9),""))</f>
        <v/>
      </c>
    </row>
    <row r="29">
      <c r="B29" s="10">
        <f>IF(INDEX(SupplierList,4)="","",INDEX(SupplierList,4))</f>
        <v/>
      </c>
      <c r="C29" s="23">
        <f>IF($B29="","",COUNTIFS('PO Data'!$B$2:$B$1001,$B29,'PO Data'!$C$2:$C$1001,IF($C$7="All","*",$C$7),'PO Data'!$E$2:$E$1001,"&gt;="&amp;$C$8,'PO Data'!$E$2:$E$1001,"&lt;="&amp;$C$9))</f>
        <v/>
      </c>
      <c r="D29" s="24">
        <f>IF($B29="","",SUMIFS('PO Data'!$P$2:$P$1001,'PO Data'!$B$2:$B$1001,$B29,'PO Data'!$C$2:$C$1001,IF($C$7="All","*",$C$7),'PO Data'!$E$2:$E$1001,"&gt;="&amp;$C$8,'PO Data'!$E$2:$E$1001,"&lt;="&amp;$C$9))</f>
        <v/>
      </c>
      <c r="E29" s="25">
        <f>IF($B29="","",IFERROR(SUMIFS('PO Data'!$U$2:$U$1001,'PO Data'!$B$2:$B$1001,$B29,'PO Data'!$C$2:$C$1001,IF($C$7="All","*",$C$7),'PO Data'!$E$2:$E$1001,"&gt;="&amp;$C$8,'PO Data'!$E$2:$E$1001,"&lt;="&amp;$C$9)/COUNTIFS('PO Data'!$B$2:$B$1001,$B29,'PO Data'!$C$2:$C$1001,IF($C$7="All","*",$C$7),'PO Data'!$E$2:$E$1001,"&gt;="&amp;$C$8,'PO Data'!$E$2:$E$1001,"&lt;="&amp;$C$9,'PO Data'!$U$2:$U$1001,"&gt;=0"),""))</f>
        <v/>
      </c>
      <c r="G29" s="26">
        <f>IF($B29="","",IFERROR(AVERAGEIFS('PO Data'!$T$2:$T$1001,'PO Data'!$B$2:$B$1001,$B29,'PO Data'!$C$2:$C$1001,IF($C$7="All","*",$C$7),'PO Data'!$E$2:$E$1001,"&gt;="&amp;$C$8,'PO Data'!$E$2:$E$1001,"&lt;="&amp;$C$9,'PO Data'!$T$2:$T$1001,"&gt;=0"),""))</f>
        <v/>
      </c>
      <c r="H29" s="27">
        <f>IF($B29="","",IFERROR(SUMIFS('PO Data'!$J$2:$J$1001,'PO Data'!$B$2:$B$1001,$B29,'PO Data'!$C$2:$C$1001,IF($C$7="All","*",$C$7),'PO Data'!$E$2:$E$1001,"&gt;="&amp;$C$8,'PO Data'!$E$2:$E$1001,"&lt;="&amp;$C$9)/SUMIFS('PO Data'!$I$2:$I$1001,'PO Data'!$B$2:$B$1001,$B29,'PO Data'!$C$2:$C$1001,IF($C$7="All","*",$C$7),'PO Data'!$E$2:$E$1001,"&gt;="&amp;$C$8,'PO Data'!$E$2:$E$1001,"&lt;="&amp;$C$9),""))</f>
        <v/>
      </c>
      <c r="I29" s="25">
        <f>IF($B29="","",IFERROR(COUNTIFS('PO Data'!$B$2:$B$1001,$B29,'PO Data'!$C$2:$C$1001,IF($C$7="All","*",$C$7),'PO Data'!$E$2:$E$1001,"&gt;="&amp;$C$8,'PO Data'!$E$2:$E$1001,"&lt;="&amp;$C$9,'PO Data'!$O$2:$O$1001,"Y")/COUNTIFS('PO Data'!$B$2:$B$1001,$B29,'PO Data'!$C$2:$C$1001,IF($C$7="All","*",$C$7),'PO Data'!$E$2:$E$1001,"&gt;="&amp;$C$8,'PO Data'!$E$2:$E$1001,"&lt;="&amp;$C$9),""))</f>
        <v/>
      </c>
      <c r="J29" s="25">
        <f>IF($B29="","",IFERROR(COUNTIFS('PO Data'!$B$2:$B$1001,$B29,'PO Data'!$C$2:$C$1001,IF($C$7="All","*",$C$7),'PO Data'!$E$2:$E$1001,"&gt;="&amp;$C$8,'PO Data'!$E$2:$E$1001,"&lt;="&amp;$C$9,'PO Data'!$M$2:$M$1001,"Y")/COUNTIFS('PO Data'!$B$2:$B$1001,$B29,'PO Data'!$C$2:$C$1001,IF($C$7="All","*",$C$7),'PO Data'!$E$2:$E$1001,"&gt;="&amp;$C$8,'PO Data'!$E$2:$E$1001,"&lt;="&amp;$C$9),""))</f>
        <v/>
      </c>
    </row>
    <row r="30">
      <c r="B30" s="10">
        <f>IF(INDEX(SupplierList,5)="","",INDEX(SupplierList,5))</f>
        <v/>
      </c>
      <c r="C30" s="23">
        <f>IF($B30="","",COUNTIFS('PO Data'!$B$2:$B$1001,$B30,'PO Data'!$C$2:$C$1001,IF($C$7="All","*",$C$7),'PO Data'!$E$2:$E$1001,"&gt;="&amp;$C$8,'PO Data'!$E$2:$E$1001,"&lt;="&amp;$C$9))</f>
        <v/>
      </c>
      <c r="D30" s="24">
        <f>IF($B30="","",SUMIFS('PO Data'!$P$2:$P$1001,'PO Data'!$B$2:$B$1001,$B30,'PO Data'!$C$2:$C$1001,IF($C$7="All","*",$C$7),'PO Data'!$E$2:$E$1001,"&gt;="&amp;$C$8,'PO Data'!$E$2:$E$1001,"&lt;="&amp;$C$9))</f>
        <v/>
      </c>
      <c r="E30" s="25">
        <f>IF($B30="","",IFERROR(SUMIFS('PO Data'!$U$2:$U$1001,'PO Data'!$B$2:$B$1001,$B30,'PO Data'!$C$2:$C$1001,IF($C$7="All","*",$C$7),'PO Data'!$E$2:$E$1001,"&gt;="&amp;$C$8,'PO Data'!$E$2:$E$1001,"&lt;="&amp;$C$9)/COUNTIFS('PO Data'!$B$2:$B$1001,$B30,'PO Data'!$C$2:$C$1001,IF($C$7="All","*",$C$7),'PO Data'!$E$2:$E$1001,"&gt;="&amp;$C$8,'PO Data'!$E$2:$E$1001,"&lt;="&amp;$C$9,'PO Data'!$U$2:$U$1001,"&gt;=0"),""))</f>
        <v/>
      </c>
      <c r="G30" s="26">
        <f>IF($B30="","",IFERROR(AVERAGEIFS('PO Data'!$T$2:$T$1001,'PO Data'!$B$2:$B$1001,$B30,'PO Data'!$C$2:$C$1001,IF($C$7="All","*",$C$7),'PO Data'!$E$2:$E$1001,"&gt;="&amp;$C$8,'PO Data'!$E$2:$E$1001,"&lt;="&amp;$C$9,'PO Data'!$T$2:$T$1001,"&gt;=0"),""))</f>
        <v/>
      </c>
      <c r="H30" s="27">
        <f>IF($B30="","",IFERROR(SUMIFS('PO Data'!$J$2:$J$1001,'PO Data'!$B$2:$B$1001,$B30,'PO Data'!$C$2:$C$1001,IF($C$7="All","*",$C$7),'PO Data'!$E$2:$E$1001,"&gt;="&amp;$C$8,'PO Data'!$E$2:$E$1001,"&lt;="&amp;$C$9)/SUMIFS('PO Data'!$I$2:$I$1001,'PO Data'!$B$2:$B$1001,$B30,'PO Data'!$C$2:$C$1001,IF($C$7="All","*",$C$7),'PO Data'!$E$2:$E$1001,"&gt;="&amp;$C$8,'PO Data'!$E$2:$E$1001,"&lt;="&amp;$C$9),""))</f>
        <v/>
      </c>
      <c r="I30" s="25">
        <f>IF($B30="","",IFERROR(COUNTIFS('PO Data'!$B$2:$B$1001,$B30,'PO Data'!$C$2:$C$1001,IF($C$7="All","*",$C$7),'PO Data'!$E$2:$E$1001,"&gt;="&amp;$C$8,'PO Data'!$E$2:$E$1001,"&lt;="&amp;$C$9,'PO Data'!$O$2:$O$1001,"Y")/COUNTIFS('PO Data'!$B$2:$B$1001,$B30,'PO Data'!$C$2:$C$1001,IF($C$7="All","*",$C$7),'PO Data'!$E$2:$E$1001,"&gt;="&amp;$C$8,'PO Data'!$E$2:$E$1001,"&lt;="&amp;$C$9),""))</f>
        <v/>
      </c>
      <c r="J30" s="25">
        <f>IF($B30="","",IFERROR(COUNTIFS('PO Data'!$B$2:$B$1001,$B30,'PO Data'!$C$2:$C$1001,IF($C$7="All","*",$C$7),'PO Data'!$E$2:$E$1001,"&gt;="&amp;$C$8,'PO Data'!$E$2:$E$1001,"&lt;="&amp;$C$9,'PO Data'!$M$2:$M$1001,"Y")/COUNTIFS('PO Data'!$B$2:$B$1001,$B30,'PO Data'!$C$2:$C$1001,IF($C$7="All","*",$C$7),'PO Data'!$E$2:$E$1001,"&gt;="&amp;$C$8,'PO Data'!$E$2:$E$1001,"&lt;="&amp;$C$9),""))</f>
        <v/>
      </c>
    </row>
    <row r="31">
      <c r="B31" s="10">
        <f>IF(INDEX(SupplierList,6)="","",INDEX(SupplierList,6))</f>
        <v/>
      </c>
      <c r="C31" s="23">
        <f>IF($B31="","",COUNTIFS('PO Data'!$B$2:$B$1001,$B31,'PO Data'!$C$2:$C$1001,IF($C$7="All","*",$C$7),'PO Data'!$E$2:$E$1001,"&gt;="&amp;$C$8,'PO Data'!$E$2:$E$1001,"&lt;="&amp;$C$9))</f>
        <v/>
      </c>
      <c r="D31" s="24">
        <f>IF($B31="","",SUMIFS('PO Data'!$P$2:$P$1001,'PO Data'!$B$2:$B$1001,$B31,'PO Data'!$C$2:$C$1001,IF($C$7="All","*",$C$7),'PO Data'!$E$2:$E$1001,"&gt;="&amp;$C$8,'PO Data'!$E$2:$E$1001,"&lt;="&amp;$C$9))</f>
        <v/>
      </c>
      <c r="E31" s="25">
        <f>IF($B31="","",IFERROR(SUMIFS('PO Data'!$U$2:$U$1001,'PO Data'!$B$2:$B$1001,$B31,'PO Data'!$C$2:$C$1001,IF($C$7="All","*",$C$7),'PO Data'!$E$2:$E$1001,"&gt;="&amp;$C$8,'PO Data'!$E$2:$E$1001,"&lt;="&amp;$C$9)/COUNTIFS('PO Data'!$B$2:$B$1001,$B31,'PO Data'!$C$2:$C$1001,IF($C$7="All","*",$C$7),'PO Data'!$E$2:$E$1001,"&gt;="&amp;$C$8,'PO Data'!$E$2:$E$1001,"&lt;="&amp;$C$9,'PO Data'!$U$2:$U$1001,"&gt;=0"),""))</f>
        <v/>
      </c>
      <c r="G31" s="26">
        <f>IF($B31="","",IFERROR(AVERAGEIFS('PO Data'!$T$2:$T$1001,'PO Data'!$B$2:$B$1001,$B31,'PO Data'!$C$2:$C$1001,IF($C$7="All","*",$C$7),'PO Data'!$E$2:$E$1001,"&gt;="&amp;$C$8,'PO Data'!$E$2:$E$1001,"&lt;="&amp;$C$9,'PO Data'!$T$2:$T$1001,"&gt;=0"),""))</f>
        <v/>
      </c>
      <c r="H31" s="27">
        <f>IF($B31="","",IFERROR(SUMIFS('PO Data'!$J$2:$J$1001,'PO Data'!$B$2:$B$1001,$B31,'PO Data'!$C$2:$C$1001,IF($C$7="All","*",$C$7),'PO Data'!$E$2:$E$1001,"&gt;="&amp;$C$8,'PO Data'!$E$2:$E$1001,"&lt;="&amp;$C$9)/SUMIFS('PO Data'!$I$2:$I$1001,'PO Data'!$B$2:$B$1001,$B31,'PO Data'!$C$2:$C$1001,IF($C$7="All","*",$C$7),'PO Data'!$E$2:$E$1001,"&gt;="&amp;$C$8,'PO Data'!$E$2:$E$1001,"&lt;="&amp;$C$9),""))</f>
        <v/>
      </c>
      <c r="I31" s="25">
        <f>IF($B31="","",IFERROR(COUNTIFS('PO Data'!$B$2:$B$1001,$B31,'PO Data'!$C$2:$C$1001,IF($C$7="All","*",$C$7),'PO Data'!$E$2:$E$1001,"&gt;="&amp;$C$8,'PO Data'!$E$2:$E$1001,"&lt;="&amp;$C$9,'PO Data'!$O$2:$O$1001,"Y")/COUNTIFS('PO Data'!$B$2:$B$1001,$B31,'PO Data'!$C$2:$C$1001,IF($C$7="All","*",$C$7),'PO Data'!$E$2:$E$1001,"&gt;="&amp;$C$8,'PO Data'!$E$2:$E$1001,"&lt;="&amp;$C$9),""))</f>
        <v/>
      </c>
      <c r="J31" s="25">
        <f>IF($B31="","",IFERROR(COUNTIFS('PO Data'!$B$2:$B$1001,$B31,'PO Data'!$C$2:$C$1001,IF($C$7="All","*",$C$7),'PO Data'!$E$2:$E$1001,"&gt;="&amp;$C$8,'PO Data'!$E$2:$E$1001,"&lt;="&amp;$C$9,'PO Data'!$M$2:$M$1001,"Y")/COUNTIFS('PO Data'!$B$2:$B$1001,$B31,'PO Data'!$C$2:$C$1001,IF($C$7="All","*",$C$7),'PO Data'!$E$2:$E$1001,"&gt;="&amp;$C$8,'PO Data'!$E$2:$E$1001,"&lt;="&amp;$C$9),""))</f>
        <v/>
      </c>
    </row>
    <row r="32">
      <c r="B32" s="10">
        <f>IF(INDEX(SupplierList,7)="","",INDEX(SupplierList,7))</f>
        <v/>
      </c>
      <c r="C32" s="23">
        <f>IF($B32="","",COUNTIFS('PO Data'!$B$2:$B$1001,$B32,'PO Data'!$C$2:$C$1001,IF($C$7="All","*",$C$7),'PO Data'!$E$2:$E$1001,"&gt;="&amp;$C$8,'PO Data'!$E$2:$E$1001,"&lt;="&amp;$C$9))</f>
        <v/>
      </c>
      <c r="D32" s="24">
        <f>IF($B32="","",SUMIFS('PO Data'!$P$2:$P$1001,'PO Data'!$B$2:$B$1001,$B32,'PO Data'!$C$2:$C$1001,IF($C$7="All","*",$C$7),'PO Data'!$E$2:$E$1001,"&gt;="&amp;$C$8,'PO Data'!$E$2:$E$1001,"&lt;="&amp;$C$9))</f>
        <v/>
      </c>
      <c r="E32" s="25">
        <f>IF($B32="","",IFERROR(SUMIFS('PO Data'!$U$2:$U$1001,'PO Data'!$B$2:$B$1001,$B32,'PO Data'!$C$2:$C$1001,IF($C$7="All","*",$C$7),'PO Data'!$E$2:$E$1001,"&gt;="&amp;$C$8,'PO Data'!$E$2:$E$1001,"&lt;="&amp;$C$9)/COUNTIFS('PO Data'!$B$2:$B$1001,$B32,'PO Data'!$C$2:$C$1001,IF($C$7="All","*",$C$7),'PO Data'!$E$2:$E$1001,"&gt;="&amp;$C$8,'PO Data'!$E$2:$E$1001,"&lt;="&amp;$C$9,'PO Data'!$U$2:$U$1001,"&gt;=0"),""))</f>
        <v/>
      </c>
      <c r="G32" s="26">
        <f>IF($B32="","",IFERROR(AVERAGEIFS('PO Data'!$T$2:$T$1001,'PO Data'!$B$2:$B$1001,$B32,'PO Data'!$C$2:$C$1001,IF($C$7="All","*",$C$7),'PO Data'!$E$2:$E$1001,"&gt;="&amp;$C$8,'PO Data'!$E$2:$E$1001,"&lt;="&amp;$C$9,'PO Data'!$T$2:$T$1001,"&gt;=0"),""))</f>
        <v/>
      </c>
      <c r="H32" s="27">
        <f>IF($B32="","",IFERROR(SUMIFS('PO Data'!$J$2:$J$1001,'PO Data'!$B$2:$B$1001,$B32,'PO Data'!$C$2:$C$1001,IF($C$7="All","*",$C$7),'PO Data'!$E$2:$E$1001,"&gt;="&amp;$C$8,'PO Data'!$E$2:$E$1001,"&lt;="&amp;$C$9)/SUMIFS('PO Data'!$I$2:$I$1001,'PO Data'!$B$2:$B$1001,$B32,'PO Data'!$C$2:$C$1001,IF($C$7="All","*",$C$7),'PO Data'!$E$2:$E$1001,"&gt;="&amp;$C$8,'PO Data'!$E$2:$E$1001,"&lt;="&amp;$C$9),""))</f>
        <v/>
      </c>
      <c r="I32" s="25">
        <f>IF($B32="","",IFERROR(COUNTIFS('PO Data'!$B$2:$B$1001,$B32,'PO Data'!$C$2:$C$1001,IF($C$7="All","*",$C$7),'PO Data'!$E$2:$E$1001,"&gt;="&amp;$C$8,'PO Data'!$E$2:$E$1001,"&lt;="&amp;$C$9,'PO Data'!$O$2:$O$1001,"Y")/COUNTIFS('PO Data'!$B$2:$B$1001,$B32,'PO Data'!$C$2:$C$1001,IF($C$7="All","*",$C$7),'PO Data'!$E$2:$E$1001,"&gt;="&amp;$C$8,'PO Data'!$E$2:$E$1001,"&lt;="&amp;$C$9),""))</f>
        <v/>
      </c>
      <c r="J32" s="25">
        <f>IF($B32="","",IFERROR(COUNTIFS('PO Data'!$B$2:$B$1001,$B32,'PO Data'!$C$2:$C$1001,IF($C$7="All","*",$C$7),'PO Data'!$E$2:$E$1001,"&gt;="&amp;$C$8,'PO Data'!$E$2:$E$1001,"&lt;="&amp;$C$9,'PO Data'!$M$2:$M$1001,"Y")/COUNTIFS('PO Data'!$B$2:$B$1001,$B32,'PO Data'!$C$2:$C$1001,IF($C$7="All","*",$C$7),'PO Data'!$E$2:$E$1001,"&gt;="&amp;$C$8,'PO Data'!$E$2:$E$1001,"&lt;="&amp;$C$9),""))</f>
        <v/>
      </c>
    </row>
    <row r="33">
      <c r="B33" s="10">
        <f>IF(INDEX(SupplierList,8)="","",INDEX(SupplierList,8))</f>
        <v/>
      </c>
      <c r="C33" s="23">
        <f>IF($B33="","",COUNTIFS('PO Data'!$B$2:$B$1001,$B33,'PO Data'!$C$2:$C$1001,IF($C$7="All","*",$C$7),'PO Data'!$E$2:$E$1001,"&gt;="&amp;$C$8,'PO Data'!$E$2:$E$1001,"&lt;="&amp;$C$9))</f>
        <v/>
      </c>
      <c r="D33" s="24">
        <f>IF($B33="","",SUMIFS('PO Data'!$P$2:$P$1001,'PO Data'!$B$2:$B$1001,$B33,'PO Data'!$C$2:$C$1001,IF($C$7="All","*",$C$7),'PO Data'!$E$2:$E$1001,"&gt;="&amp;$C$8,'PO Data'!$E$2:$E$1001,"&lt;="&amp;$C$9))</f>
        <v/>
      </c>
      <c r="E33" s="25">
        <f>IF($B33="","",IFERROR(SUMIFS('PO Data'!$U$2:$U$1001,'PO Data'!$B$2:$B$1001,$B33,'PO Data'!$C$2:$C$1001,IF($C$7="All","*",$C$7),'PO Data'!$E$2:$E$1001,"&gt;="&amp;$C$8,'PO Data'!$E$2:$E$1001,"&lt;="&amp;$C$9)/COUNTIFS('PO Data'!$B$2:$B$1001,$B33,'PO Data'!$C$2:$C$1001,IF($C$7="All","*",$C$7),'PO Data'!$E$2:$E$1001,"&gt;="&amp;$C$8,'PO Data'!$E$2:$E$1001,"&lt;="&amp;$C$9,'PO Data'!$U$2:$U$1001,"&gt;=0"),""))</f>
        <v/>
      </c>
      <c r="G33" s="26">
        <f>IF($B33="","",IFERROR(AVERAGEIFS('PO Data'!$T$2:$T$1001,'PO Data'!$B$2:$B$1001,$B33,'PO Data'!$C$2:$C$1001,IF($C$7="All","*",$C$7),'PO Data'!$E$2:$E$1001,"&gt;="&amp;$C$8,'PO Data'!$E$2:$E$1001,"&lt;="&amp;$C$9,'PO Data'!$T$2:$T$1001,"&gt;=0"),""))</f>
        <v/>
      </c>
      <c r="H33" s="27">
        <f>IF($B33="","",IFERROR(SUMIFS('PO Data'!$J$2:$J$1001,'PO Data'!$B$2:$B$1001,$B33,'PO Data'!$C$2:$C$1001,IF($C$7="All","*",$C$7),'PO Data'!$E$2:$E$1001,"&gt;="&amp;$C$8,'PO Data'!$E$2:$E$1001,"&lt;="&amp;$C$9)/SUMIFS('PO Data'!$I$2:$I$1001,'PO Data'!$B$2:$B$1001,$B33,'PO Data'!$C$2:$C$1001,IF($C$7="All","*",$C$7),'PO Data'!$E$2:$E$1001,"&gt;="&amp;$C$8,'PO Data'!$E$2:$E$1001,"&lt;="&amp;$C$9),""))</f>
        <v/>
      </c>
      <c r="I33" s="25">
        <f>IF($B33="","",IFERROR(COUNTIFS('PO Data'!$B$2:$B$1001,$B33,'PO Data'!$C$2:$C$1001,IF($C$7="All","*",$C$7),'PO Data'!$E$2:$E$1001,"&gt;="&amp;$C$8,'PO Data'!$E$2:$E$1001,"&lt;="&amp;$C$9,'PO Data'!$O$2:$O$1001,"Y")/COUNTIFS('PO Data'!$B$2:$B$1001,$B33,'PO Data'!$C$2:$C$1001,IF($C$7="All","*",$C$7),'PO Data'!$E$2:$E$1001,"&gt;="&amp;$C$8,'PO Data'!$E$2:$E$1001,"&lt;="&amp;$C$9),""))</f>
        <v/>
      </c>
      <c r="J33" s="25">
        <f>IF($B33="","",IFERROR(COUNTIFS('PO Data'!$B$2:$B$1001,$B33,'PO Data'!$C$2:$C$1001,IF($C$7="All","*",$C$7),'PO Data'!$E$2:$E$1001,"&gt;="&amp;$C$8,'PO Data'!$E$2:$E$1001,"&lt;="&amp;$C$9,'PO Data'!$M$2:$M$1001,"Y")/COUNTIFS('PO Data'!$B$2:$B$1001,$B33,'PO Data'!$C$2:$C$1001,IF($C$7="All","*",$C$7),'PO Data'!$E$2:$E$1001,"&gt;="&amp;$C$8,'PO Data'!$E$2:$E$1001,"&lt;="&amp;$C$9),""))</f>
        <v/>
      </c>
    </row>
    <row r="34">
      <c r="B34" s="10">
        <f>IF(INDEX(SupplierList,9)="","",INDEX(SupplierList,9))</f>
        <v/>
      </c>
      <c r="C34" s="23">
        <f>IF($B34="","",COUNTIFS('PO Data'!$B$2:$B$1001,$B34,'PO Data'!$C$2:$C$1001,IF($C$7="All","*",$C$7),'PO Data'!$E$2:$E$1001,"&gt;="&amp;$C$8,'PO Data'!$E$2:$E$1001,"&lt;="&amp;$C$9))</f>
        <v/>
      </c>
      <c r="D34" s="24">
        <f>IF($B34="","",SUMIFS('PO Data'!$P$2:$P$1001,'PO Data'!$B$2:$B$1001,$B34,'PO Data'!$C$2:$C$1001,IF($C$7="All","*",$C$7),'PO Data'!$E$2:$E$1001,"&gt;="&amp;$C$8,'PO Data'!$E$2:$E$1001,"&lt;="&amp;$C$9))</f>
        <v/>
      </c>
      <c r="E34" s="25">
        <f>IF($B34="","",IFERROR(SUMIFS('PO Data'!$U$2:$U$1001,'PO Data'!$B$2:$B$1001,$B34,'PO Data'!$C$2:$C$1001,IF($C$7="All","*",$C$7),'PO Data'!$E$2:$E$1001,"&gt;="&amp;$C$8,'PO Data'!$E$2:$E$1001,"&lt;="&amp;$C$9)/COUNTIFS('PO Data'!$B$2:$B$1001,$B34,'PO Data'!$C$2:$C$1001,IF($C$7="All","*",$C$7),'PO Data'!$E$2:$E$1001,"&gt;="&amp;$C$8,'PO Data'!$E$2:$E$1001,"&lt;="&amp;$C$9,'PO Data'!$U$2:$U$1001,"&gt;=0"),""))</f>
        <v/>
      </c>
      <c r="G34" s="26">
        <f>IF($B34="","",IFERROR(AVERAGEIFS('PO Data'!$T$2:$T$1001,'PO Data'!$B$2:$B$1001,$B34,'PO Data'!$C$2:$C$1001,IF($C$7="All","*",$C$7),'PO Data'!$E$2:$E$1001,"&gt;="&amp;$C$8,'PO Data'!$E$2:$E$1001,"&lt;="&amp;$C$9,'PO Data'!$T$2:$T$1001,"&gt;=0"),""))</f>
        <v/>
      </c>
      <c r="H34" s="27">
        <f>IF($B34="","",IFERROR(SUMIFS('PO Data'!$J$2:$J$1001,'PO Data'!$B$2:$B$1001,$B34,'PO Data'!$C$2:$C$1001,IF($C$7="All","*",$C$7),'PO Data'!$E$2:$E$1001,"&gt;="&amp;$C$8,'PO Data'!$E$2:$E$1001,"&lt;="&amp;$C$9)/SUMIFS('PO Data'!$I$2:$I$1001,'PO Data'!$B$2:$B$1001,$B34,'PO Data'!$C$2:$C$1001,IF($C$7="All","*",$C$7),'PO Data'!$E$2:$E$1001,"&gt;="&amp;$C$8,'PO Data'!$E$2:$E$1001,"&lt;="&amp;$C$9),""))</f>
        <v/>
      </c>
      <c r="I34" s="25">
        <f>IF($B34="","",IFERROR(COUNTIFS('PO Data'!$B$2:$B$1001,$B34,'PO Data'!$C$2:$C$1001,IF($C$7="All","*",$C$7),'PO Data'!$E$2:$E$1001,"&gt;="&amp;$C$8,'PO Data'!$E$2:$E$1001,"&lt;="&amp;$C$9,'PO Data'!$O$2:$O$1001,"Y")/COUNTIFS('PO Data'!$B$2:$B$1001,$B34,'PO Data'!$C$2:$C$1001,IF($C$7="All","*",$C$7),'PO Data'!$E$2:$E$1001,"&gt;="&amp;$C$8,'PO Data'!$E$2:$E$1001,"&lt;="&amp;$C$9),""))</f>
        <v/>
      </c>
      <c r="J34" s="25">
        <f>IF($B34="","",IFERROR(COUNTIFS('PO Data'!$B$2:$B$1001,$B34,'PO Data'!$C$2:$C$1001,IF($C$7="All","*",$C$7),'PO Data'!$E$2:$E$1001,"&gt;="&amp;$C$8,'PO Data'!$E$2:$E$1001,"&lt;="&amp;$C$9,'PO Data'!$M$2:$M$1001,"Y")/COUNTIFS('PO Data'!$B$2:$B$1001,$B34,'PO Data'!$C$2:$C$1001,IF($C$7="All","*",$C$7),'PO Data'!$E$2:$E$1001,"&gt;="&amp;$C$8,'PO Data'!$E$2:$E$1001,"&lt;="&amp;$C$9),""))</f>
        <v/>
      </c>
    </row>
    <row r="35">
      <c r="B35" s="10">
        <f>IF(INDEX(SupplierList,10)="","",INDEX(SupplierList,10))</f>
        <v/>
      </c>
      <c r="C35" s="23">
        <f>IF($B35="","",COUNTIFS('PO Data'!$B$2:$B$1001,$B35,'PO Data'!$C$2:$C$1001,IF($C$7="All","*",$C$7),'PO Data'!$E$2:$E$1001,"&gt;="&amp;$C$8,'PO Data'!$E$2:$E$1001,"&lt;="&amp;$C$9))</f>
        <v/>
      </c>
      <c r="D35" s="24">
        <f>IF($B35="","",SUMIFS('PO Data'!$P$2:$P$1001,'PO Data'!$B$2:$B$1001,$B35,'PO Data'!$C$2:$C$1001,IF($C$7="All","*",$C$7),'PO Data'!$E$2:$E$1001,"&gt;="&amp;$C$8,'PO Data'!$E$2:$E$1001,"&lt;="&amp;$C$9))</f>
        <v/>
      </c>
      <c r="E35" s="25">
        <f>IF($B35="","",IFERROR(SUMIFS('PO Data'!$U$2:$U$1001,'PO Data'!$B$2:$B$1001,$B35,'PO Data'!$C$2:$C$1001,IF($C$7="All","*",$C$7),'PO Data'!$E$2:$E$1001,"&gt;="&amp;$C$8,'PO Data'!$E$2:$E$1001,"&lt;="&amp;$C$9)/COUNTIFS('PO Data'!$B$2:$B$1001,$B35,'PO Data'!$C$2:$C$1001,IF($C$7="All","*",$C$7),'PO Data'!$E$2:$E$1001,"&gt;="&amp;$C$8,'PO Data'!$E$2:$E$1001,"&lt;="&amp;$C$9,'PO Data'!$U$2:$U$1001,"&gt;=0"),""))</f>
        <v/>
      </c>
      <c r="G35" s="26">
        <f>IF($B35="","",IFERROR(AVERAGEIFS('PO Data'!$T$2:$T$1001,'PO Data'!$B$2:$B$1001,$B35,'PO Data'!$C$2:$C$1001,IF($C$7="All","*",$C$7),'PO Data'!$E$2:$E$1001,"&gt;="&amp;$C$8,'PO Data'!$E$2:$E$1001,"&lt;="&amp;$C$9,'PO Data'!$T$2:$T$1001,"&gt;=0"),""))</f>
        <v/>
      </c>
      <c r="H35" s="27">
        <f>IF($B35="","",IFERROR(SUMIFS('PO Data'!$J$2:$J$1001,'PO Data'!$B$2:$B$1001,$B35,'PO Data'!$C$2:$C$1001,IF($C$7="All","*",$C$7),'PO Data'!$E$2:$E$1001,"&gt;="&amp;$C$8,'PO Data'!$E$2:$E$1001,"&lt;="&amp;$C$9)/SUMIFS('PO Data'!$I$2:$I$1001,'PO Data'!$B$2:$B$1001,$B35,'PO Data'!$C$2:$C$1001,IF($C$7="All","*",$C$7),'PO Data'!$E$2:$E$1001,"&gt;="&amp;$C$8,'PO Data'!$E$2:$E$1001,"&lt;="&amp;$C$9),""))</f>
        <v/>
      </c>
      <c r="I35" s="25">
        <f>IF($B35="","",IFERROR(COUNTIFS('PO Data'!$B$2:$B$1001,$B35,'PO Data'!$C$2:$C$1001,IF($C$7="All","*",$C$7),'PO Data'!$E$2:$E$1001,"&gt;="&amp;$C$8,'PO Data'!$E$2:$E$1001,"&lt;="&amp;$C$9,'PO Data'!$O$2:$O$1001,"Y")/COUNTIFS('PO Data'!$B$2:$B$1001,$B35,'PO Data'!$C$2:$C$1001,IF($C$7="All","*",$C$7),'PO Data'!$E$2:$E$1001,"&gt;="&amp;$C$8,'PO Data'!$E$2:$E$1001,"&lt;="&amp;$C$9),""))</f>
        <v/>
      </c>
      <c r="J35" s="25">
        <f>IF($B35="","",IFERROR(COUNTIFS('PO Data'!$B$2:$B$1001,$B35,'PO Data'!$C$2:$C$1001,IF($C$7="All","*",$C$7),'PO Data'!$E$2:$E$1001,"&gt;="&amp;$C$8,'PO Data'!$E$2:$E$1001,"&lt;="&amp;$C$9,'PO Data'!$M$2:$M$1001,"Y")/COUNTIFS('PO Data'!$B$2:$B$1001,$B35,'PO Data'!$C$2:$C$1001,IF($C$7="All","*",$C$7),'PO Data'!$E$2:$E$1001,"&gt;="&amp;$C$8,'PO Data'!$E$2:$E$1001,"&lt;="&amp;$C$9),""))</f>
        <v/>
      </c>
    </row>
    <row r="36">
      <c r="B36" s="10">
        <f>IF(INDEX(SupplierList,11)="","",INDEX(SupplierList,11))</f>
        <v/>
      </c>
      <c r="C36" s="23">
        <f>IF($B36="","",COUNTIFS('PO Data'!$B$2:$B$1001,$B36,'PO Data'!$C$2:$C$1001,IF($C$7="All","*",$C$7),'PO Data'!$E$2:$E$1001,"&gt;="&amp;$C$8,'PO Data'!$E$2:$E$1001,"&lt;="&amp;$C$9))</f>
        <v/>
      </c>
      <c r="D36" s="24">
        <f>IF($B36="","",SUMIFS('PO Data'!$P$2:$P$1001,'PO Data'!$B$2:$B$1001,$B36,'PO Data'!$C$2:$C$1001,IF($C$7="All","*",$C$7),'PO Data'!$E$2:$E$1001,"&gt;="&amp;$C$8,'PO Data'!$E$2:$E$1001,"&lt;="&amp;$C$9))</f>
        <v/>
      </c>
      <c r="E36" s="25">
        <f>IF($B36="","",IFERROR(SUMIFS('PO Data'!$U$2:$U$1001,'PO Data'!$B$2:$B$1001,$B36,'PO Data'!$C$2:$C$1001,IF($C$7="All","*",$C$7),'PO Data'!$E$2:$E$1001,"&gt;="&amp;$C$8,'PO Data'!$E$2:$E$1001,"&lt;="&amp;$C$9)/COUNTIFS('PO Data'!$B$2:$B$1001,$B36,'PO Data'!$C$2:$C$1001,IF($C$7="All","*",$C$7),'PO Data'!$E$2:$E$1001,"&gt;="&amp;$C$8,'PO Data'!$E$2:$E$1001,"&lt;="&amp;$C$9,'PO Data'!$U$2:$U$1001,"&gt;=0"),""))</f>
        <v/>
      </c>
      <c r="G36" s="26">
        <f>IF($B36="","",IFERROR(AVERAGEIFS('PO Data'!$T$2:$T$1001,'PO Data'!$B$2:$B$1001,$B36,'PO Data'!$C$2:$C$1001,IF($C$7="All","*",$C$7),'PO Data'!$E$2:$E$1001,"&gt;="&amp;$C$8,'PO Data'!$E$2:$E$1001,"&lt;="&amp;$C$9,'PO Data'!$T$2:$T$1001,"&gt;=0"),""))</f>
        <v/>
      </c>
      <c r="H36" s="27">
        <f>IF($B36="","",IFERROR(SUMIFS('PO Data'!$J$2:$J$1001,'PO Data'!$B$2:$B$1001,$B36,'PO Data'!$C$2:$C$1001,IF($C$7="All","*",$C$7),'PO Data'!$E$2:$E$1001,"&gt;="&amp;$C$8,'PO Data'!$E$2:$E$1001,"&lt;="&amp;$C$9)/SUMIFS('PO Data'!$I$2:$I$1001,'PO Data'!$B$2:$B$1001,$B36,'PO Data'!$C$2:$C$1001,IF($C$7="All","*",$C$7),'PO Data'!$E$2:$E$1001,"&gt;="&amp;$C$8,'PO Data'!$E$2:$E$1001,"&lt;="&amp;$C$9),""))</f>
        <v/>
      </c>
      <c r="I36" s="25">
        <f>IF($B36="","",IFERROR(COUNTIFS('PO Data'!$B$2:$B$1001,$B36,'PO Data'!$C$2:$C$1001,IF($C$7="All","*",$C$7),'PO Data'!$E$2:$E$1001,"&gt;="&amp;$C$8,'PO Data'!$E$2:$E$1001,"&lt;="&amp;$C$9,'PO Data'!$O$2:$O$1001,"Y")/COUNTIFS('PO Data'!$B$2:$B$1001,$B36,'PO Data'!$C$2:$C$1001,IF($C$7="All","*",$C$7),'PO Data'!$E$2:$E$1001,"&gt;="&amp;$C$8,'PO Data'!$E$2:$E$1001,"&lt;="&amp;$C$9),""))</f>
        <v/>
      </c>
      <c r="J36" s="25">
        <f>IF($B36="","",IFERROR(COUNTIFS('PO Data'!$B$2:$B$1001,$B36,'PO Data'!$C$2:$C$1001,IF($C$7="All","*",$C$7),'PO Data'!$E$2:$E$1001,"&gt;="&amp;$C$8,'PO Data'!$E$2:$E$1001,"&lt;="&amp;$C$9,'PO Data'!$M$2:$M$1001,"Y")/COUNTIFS('PO Data'!$B$2:$B$1001,$B36,'PO Data'!$C$2:$C$1001,IF($C$7="All","*",$C$7),'PO Data'!$E$2:$E$1001,"&gt;="&amp;$C$8,'PO Data'!$E$2:$E$1001,"&lt;="&amp;$C$9),""))</f>
        <v/>
      </c>
    </row>
    <row r="37">
      <c r="B37" s="10">
        <f>IF(INDEX(SupplierList,12)="","",INDEX(SupplierList,12))</f>
        <v/>
      </c>
      <c r="C37" s="23">
        <f>IF($B37="","",COUNTIFS('PO Data'!$B$2:$B$1001,$B37,'PO Data'!$C$2:$C$1001,IF($C$7="All","*",$C$7),'PO Data'!$E$2:$E$1001,"&gt;="&amp;$C$8,'PO Data'!$E$2:$E$1001,"&lt;="&amp;$C$9))</f>
        <v/>
      </c>
      <c r="D37" s="24">
        <f>IF($B37="","",SUMIFS('PO Data'!$P$2:$P$1001,'PO Data'!$B$2:$B$1001,$B37,'PO Data'!$C$2:$C$1001,IF($C$7="All","*",$C$7),'PO Data'!$E$2:$E$1001,"&gt;="&amp;$C$8,'PO Data'!$E$2:$E$1001,"&lt;="&amp;$C$9))</f>
        <v/>
      </c>
      <c r="E37" s="25">
        <f>IF($B37="","",IFERROR(SUMIFS('PO Data'!$U$2:$U$1001,'PO Data'!$B$2:$B$1001,$B37,'PO Data'!$C$2:$C$1001,IF($C$7="All","*",$C$7),'PO Data'!$E$2:$E$1001,"&gt;="&amp;$C$8,'PO Data'!$E$2:$E$1001,"&lt;="&amp;$C$9)/COUNTIFS('PO Data'!$B$2:$B$1001,$B37,'PO Data'!$C$2:$C$1001,IF($C$7="All","*",$C$7),'PO Data'!$E$2:$E$1001,"&gt;="&amp;$C$8,'PO Data'!$E$2:$E$1001,"&lt;="&amp;$C$9,'PO Data'!$U$2:$U$1001,"&gt;=0"),""))</f>
        <v/>
      </c>
      <c r="G37" s="26">
        <f>IF($B37="","",IFERROR(AVERAGEIFS('PO Data'!$T$2:$T$1001,'PO Data'!$B$2:$B$1001,$B37,'PO Data'!$C$2:$C$1001,IF($C$7="All","*",$C$7),'PO Data'!$E$2:$E$1001,"&gt;="&amp;$C$8,'PO Data'!$E$2:$E$1001,"&lt;="&amp;$C$9,'PO Data'!$T$2:$T$1001,"&gt;=0"),""))</f>
        <v/>
      </c>
      <c r="H37" s="27">
        <f>IF($B37="","",IFERROR(SUMIFS('PO Data'!$J$2:$J$1001,'PO Data'!$B$2:$B$1001,$B37,'PO Data'!$C$2:$C$1001,IF($C$7="All","*",$C$7),'PO Data'!$E$2:$E$1001,"&gt;="&amp;$C$8,'PO Data'!$E$2:$E$1001,"&lt;="&amp;$C$9)/SUMIFS('PO Data'!$I$2:$I$1001,'PO Data'!$B$2:$B$1001,$B37,'PO Data'!$C$2:$C$1001,IF($C$7="All","*",$C$7),'PO Data'!$E$2:$E$1001,"&gt;="&amp;$C$8,'PO Data'!$E$2:$E$1001,"&lt;="&amp;$C$9),""))</f>
        <v/>
      </c>
      <c r="I37" s="25">
        <f>IF($B37="","",IFERROR(COUNTIFS('PO Data'!$B$2:$B$1001,$B37,'PO Data'!$C$2:$C$1001,IF($C$7="All","*",$C$7),'PO Data'!$E$2:$E$1001,"&gt;="&amp;$C$8,'PO Data'!$E$2:$E$1001,"&lt;="&amp;$C$9,'PO Data'!$O$2:$O$1001,"Y")/COUNTIFS('PO Data'!$B$2:$B$1001,$B37,'PO Data'!$C$2:$C$1001,IF($C$7="All","*",$C$7),'PO Data'!$E$2:$E$1001,"&gt;="&amp;$C$8,'PO Data'!$E$2:$E$1001,"&lt;="&amp;$C$9),""))</f>
        <v/>
      </c>
      <c r="J37" s="25">
        <f>IF($B37="","",IFERROR(COUNTIFS('PO Data'!$B$2:$B$1001,$B37,'PO Data'!$C$2:$C$1001,IF($C$7="All","*",$C$7),'PO Data'!$E$2:$E$1001,"&gt;="&amp;$C$8,'PO Data'!$E$2:$E$1001,"&lt;="&amp;$C$9,'PO Data'!$M$2:$M$1001,"Y")/COUNTIFS('PO Data'!$B$2:$B$1001,$B37,'PO Data'!$C$2:$C$1001,IF($C$7="All","*",$C$7),'PO Data'!$E$2:$E$1001,"&gt;="&amp;$C$8,'PO Data'!$E$2:$E$1001,"&lt;="&amp;$C$9),""))</f>
        <v/>
      </c>
    </row>
    <row r="38">
      <c r="B38" s="28" t="inlineStr">
        <is>
          <t>Red = worse than the target above. Filtered by category and dates; the supplier filter doesn't apply here.</t>
        </is>
      </c>
    </row>
    <row r="40">
      <c r="B40" s="3" t="inlineStr">
        <is>
          <t>MONTHLY TREND</t>
        </is>
      </c>
    </row>
    <row r="41">
      <c r="B41" s="8" t="inlineStr">
        <is>
          <t>Month</t>
        </is>
      </c>
      <c r="C41" s="9" t="inlineStr">
        <is>
          <t>POs</t>
        </is>
      </c>
      <c r="D41" s="9" t="inlineStr">
        <is>
          <t>Spend</t>
        </is>
      </c>
      <c r="E41" s="9" t="inlineStr">
        <is>
          <t>On-time %</t>
        </is>
      </c>
    </row>
    <row r="42">
      <c r="B42" s="29">
        <f>DATE(YEAR($C$8),MONTH($C$8)+0,1)</f>
        <v/>
      </c>
      <c r="C42" s="23">
        <f>COUNTIFS('PO Data'!$B$2:$B$1001,IF($C$6="All","*",$C$6),'PO Data'!$C$2:$C$1001,IF($C$7="All","*",$C$7),'PO Data'!$V$2:$V$1001,$B42)</f>
        <v/>
      </c>
      <c r="D42" s="24">
        <f>SUMIFS('PO Data'!$P$2:$P$1001,'PO Data'!$B$2:$B$1001,IF($C$6="All","*",$C$6),'PO Data'!$C$2:$C$1001,IF($C$7="All","*",$C$7),'PO Data'!$V$2:$V$1001,$B42)</f>
        <v/>
      </c>
      <c r="E42" s="25">
        <f>IFERROR(SUMIFS('PO Data'!$U$2:$U$1001,'PO Data'!$B$2:$B$1001,IF($C$6="All","*",$C$6),'PO Data'!$C$2:$C$1001,IF($C$7="All","*",$C$7),'PO Data'!$V$2:$V$1001,$B42)/COUNTIFS('PO Data'!$B$2:$B$1001,IF($C$6="All","*",$C$6),'PO Data'!$C$2:$C$1001,IF($C$7="All","*",$C$7),'PO Data'!$V$2:$V$1001,$B42,'PO Data'!$U$2:$U$1001,"&gt;=0"),NA())</f>
        <v/>
      </c>
    </row>
    <row r="43">
      <c r="B43" s="29">
        <f>DATE(YEAR($C$8),MONTH($C$8)+1,1)</f>
        <v/>
      </c>
      <c r="C43" s="23">
        <f>COUNTIFS('PO Data'!$B$2:$B$1001,IF($C$6="All","*",$C$6),'PO Data'!$C$2:$C$1001,IF($C$7="All","*",$C$7),'PO Data'!$V$2:$V$1001,$B43)</f>
        <v/>
      </c>
      <c r="D43" s="24">
        <f>SUMIFS('PO Data'!$P$2:$P$1001,'PO Data'!$B$2:$B$1001,IF($C$6="All","*",$C$6),'PO Data'!$C$2:$C$1001,IF($C$7="All","*",$C$7),'PO Data'!$V$2:$V$1001,$B43)</f>
        <v/>
      </c>
      <c r="E43" s="25">
        <f>IFERROR(SUMIFS('PO Data'!$U$2:$U$1001,'PO Data'!$B$2:$B$1001,IF($C$6="All","*",$C$6),'PO Data'!$C$2:$C$1001,IF($C$7="All","*",$C$7),'PO Data'!$V$2:$V$1001,$B43)/COUNTIFS('PO Data'!$B$2:$B$1001,IF($C$6="All","*",$C$6),'PO Data'!$C$2:$C$1001,IF($C$7="All","*",$C$7),'PO Data'!$V$2:$V$1001,$B43,'PO Data'!$U$2:$U$1001,"&gt;=0"),NA())</f>
        <v/>
      </c>
    </row>
    <row r="44">
      <c r="B44" s="29">
        <f>DATE(YEAR($C$8),MONTH($C$8)+2,1)</f>
        <v/>
      </c>
      <c r="C44" s="23">
        <f>COUNTIFS('PO Data'!$B$2:$B$1001,IF($C$6="All","*",$C$6),'PO Data'!$C$2:$C$1001,IF($C$7="All","*",$C$7),'PO Data'!$V$2:$V$1001,$B44)</f>
        <v/>
      </c>
      <c r="D44" s="24">
        <f>SUMIFS('PO Data'!$P$2:$P$1001,'PO Data'!$B$2:$B$1001,IF($C$6="All","*",$C$6),'PO Data'!$C$2:$C$1001,IF($C$7="All","*",$C$7),'PO Data'!$V$2:$V$1001,$B44)</f>
        <v/>
      </c>
      <c r="E44" s="25">
        <f>IFERROR(SUMIFS('PO Data'!$U$2:$U$1001,'PO Data'!$B$2:$B$1001,IF($C$6="All","*",$C$6),'PO Data'!$C$2:$C$1001,IF($C$7="All","*",$C$7),'PO Data'!$V$2:$V$1001,$B44)/COUNTIFS('PO Data'!$B$2:$B$1001,IF($C$6="All","*",$C$6),'PO Data'!$C$2:$C$1001,IF($C$7="All","*",$C$7),'PO Data'!$V$2:$V$1001,$B44,'PO Data'!$U$2:$U$1001,"&gt;=0"),NA())</f>
        <v/>
      </c>
    </row>
    <row r="45">
      <c r="B45" s="29">
        <f>DATE(YEAR($C$8),MONTH($C$8)+3,1)</f>
        <v/>
      </c>
      <c r="C45" s="23">
        <f>COUNTIFS('PO Data'!$B$2:$B$1001,IF($C$6="All","*",$C$6),'PO Data'!$C$2:$C$1001,IF($C$7="All","*",$C$7),'PO Data'!$V$2:$V$1001,$B45)</f>
        <v/>
      </c>
      <c r="D45" s="24">
        <f>SUMIFS('PO Data'!$P$2:$P$1001,'PO Data'!$B$2:$B$1001,IF($C$6="All","*",$C$6),'PO Data'!$C$2:$C$1001,IF($C$7="All","*",$C$7),'PO Data'!$V$2:$V$1001,$B45)</f>
        <v/>
      </c>
      <c r="E45" s="25">
        <f>IFERROR(SUMIFS('PO Data'!$U$2:$U$1001,'PO Data'!$B$2:$B$1001,IF($C$6="All","*",$C$6),'PO Data'!$C$2:$C$1001,IF($C$7="All","*",$C$7),'PO Data'!$V$2:$V$1001,$B45)/COUNTIFS('PO Data'!$B$2:$B$1001,IF($C$6="All","*",$C$6),'PO Data'!$C$2:$C$1001,IF($C$7="All","*",$C$7),'PO Data'!$V$2:$V$1001,$B45,'PO Data'!$U$2:$U$1001,"&gt;=0"),NA())</f>
        <v/>
      </c>
    </row>
    <row r="46">
      <c r="B46" s="29">
        <f>DATE(YEAR($C$8),MONTH($C$8)+4,1)</f>
        <v/>
      </c>
      <c r="C46" s="23">
        <f>COUNTIFS('PO Data'!$B$2:$B$1001,IF($C$6="All","*",$C$6),'PO Data'!$C$2:$C$1001,IF($C$7="All","*",$C$7),'PO Data'!$V$2:$V$1001,$B46)</f>
        <v/>
      </c>
      <c r="D46" s="24">
        <f>SUMIFS('PO Data'!$P$2:$P$1001,'PO Data'!$B$2:$B$1001,IF($C$6="All","*",$C$6),'PO Data'!$C$2:$C$1001,IF($C$7="All","*",$C$7),'PO Data'!$V$2:$V$1001,$B46)</f>
        <v/>
      </c>
      <c r="E46" s="25">
        <f>IFERROR(SUMIFS('PO Data'!$U$2:$U$1001,'PO Data'!$B$2:$B$1001,IF($C$6="All","*",$C$6),'PO Data'!$C$2:$C$1001,IF($C$7="All","*",$C$7),'PO Data'!$V$2:$V$1001,$B46)/COUNTIFS('PO Data'!$B$2:$B$1001,IF($C$6="All","*",$C$6),'PO Data'!$C$2:$C$1001,IF($C$7="All","*",$C$7),'PO Data'!$V$2:$V$1001,$B46,'PO Data'!$U$2:$U$1001,"&gt;=0"),NA())</f>
        <v/>
      </c>
    </row>
    <row r="47">
      <c r="B47" s="29">
        <f>DATE(YEAR($C$8),MONTH($C$8)+5,1)</f>
        <v/>
      </c>
      <c r="C47" s="23">
        <f>COUNTIFS('PO Data'!$B$2:$B$1001,IF($C$6="All","*",$C$6),'PO Data'!$C$2:$C$1001,IF($C$7="All","*",$C$7),'PO Data'!$V$2:$V$1001,$B47)</f>
        <v/>
      </c>
      <c r="D47" s="24">
        <f>SUMIFS('PO Data'!$P$2:$P$1001,'PO Data'!$B$2:$B$1001,IF($C$6="All","*",$C$6),'PO Data'!$C$2:$C$1001,IF($C$7="All","*",$C$7),'PO Data'!$V$2:$V$1001,$B47)</f>
        <v/>
      </c>
      <c r="E47" s="25">
        <f>IFERROR(SUMIFS('PO Data'!$U$2:$U$1001,'PO Data'!$B$2:$B$1001,IF($C$6="All","*",$C$6),'PO Data'!$C$2:$C$1001,IF($C$7="All","*",$C$7),'PO Data'!$V$2:$V$1001,$B47)/COUNTIFS('PO Data'!$B$2:$B$1001,IF($C$6="All","*",$C$6),'PO Data'!$C$2:$C$1001,IF($C$7="All","*",$C$7),'PO Data'!$V$2:$V$1001,$B47,'PO Data'!$U$2:$U$1001,"&gt;=0"),NA())</f>
        <v/>
      </c>
    </row>
    <row r="48">
      <c r="B48" s="29">
        <f>DATE(YEAR($C$8),MONTH($C$8)+6,1)</f>
        <v/>
      </c>
      <c r="C48" s="23">
        <f>COUNTIFS('PO Data'!$B$2:$B$1001,IF($C$6="All","*",$C$6),'PO Data'!$C$2:$C$1001,IF($C$7="All","*",$C$7),'PO Data'!$V$2:$V$1001,$B48)</f>
        <v/>
      </c>
      <c r="D48" s="24">
        <f>SUMIFS('PO Data'!$P$2:$P$1001,'PO Data'!$B$2:$B$1001,IF($C$6="All","*",$C$6),'PO Data'!$C$2:$C$1001,IF($C$7="All","*",$C$7),'PO Data'!$V$2:$V$1001,$B48)</f>
        <v/>
      </c>
      <c r="E48" s="25">
        <f>IFERROR(SUMIFS('PO Data'!$U$2:$U$1001,'PO Data'!$B$2:$B$1001,IF($C$6="All","*",$C$6),'PO Data'!$C$2:$C$1001,IF($C$7="All","*",$C$7),'PO Data'!$V$2:$V$1001,$B48)/COUNTIFS('PO Data'!$B$2:$B$1001,IF($C$6="All","*",$C$6),'PO Data'!$C$2:$C$1001,IF($C$7="All","*",$C$7),'PO Data'!$V$2:$V$1001,$B48,'PO Data'!$U$2:$U$1001,"&gt;=0"),NA())</f>
        <v/>
      </c>
    </row>
    <row r="49">
      <c r="B49" s="29">
        <f>DATE(YEAR($C$8),MONTH($C$8)+7,1)</f>
        <v/>
      </c>
      <c r="C49" s="23">
        <f>COUNTIFS('PO Data'!$B$2:$B$1001,IF($C$6="All","*",$C$6),'PO Data'!$C$2:$C$1001,IF($C$7="All","*",$C$7),'PO Data'!$V$2:$V$1001,$B49)</f>
        <v/>
      </c>
      <c r="D49" s="24">
        <f>SUMIFS('PO Data'!$P$2:$P$1001,'PO Data'!$B$2:$B$1001,IF($C$6="All","*",$C$6),'PO Data'!$C$2:$C$1001,IF($C$7="All","*",$C$7),'PO Data'!$V$2:$V$1001,$B49)</f>
        <v/>
      </c>
      <c r="E49" s="25">
        <f>IFERROR(SUMIFS('PO Data'!$U$2:$U$1001,'PO Data'!$B$2:$B$1001,IF($C$6="All","*",$C$6),'PO Data'!$C$2:$C$1001,IF($C$7="All","*",$C$7),'PO Data'!$V$2:$V$1001,$B49)/COUNTIFS('PO Data'!$B$2:$B$1001,IF($C$6="All","*",$C$6),'PO Data'!$C$2:$C$1001,IF($C$7="All","*",$C$7),'PO Data'!$V$2:$V$1001,$B49,'PO Data'!$U$2:$U$1001,"&gt;=0"),NA())</f>
        <v/>
      </c>
    </row>
    <row r="50">
      <c r="B50" s="29">
        <f>DATE(YEAR($C$8),MONTH($C$8)+8,1)</f>
        <v/>
      </c>
      <c r="C50" s="23">
        <f>COUNTIFS('PO Data'!$B$2:$B$1001,IF($C$6="All","*",$C$6),'PO Data'!$C$2:$C$1001,IF($C$7="All","*",$C$7),'PO Data'!$V$2:$V$1001,$B50)</f>
        <v/>
      </c>
      <c r="D50" s="24">
        <f>SUMIFS('PO Data'!$P$2:$P$1001,'PO Data'!$B$2:$B$1001,IF($C$6="All","*",$C$6),'PO Data'!$C$2:$C$1001,IF($C$7="All","*",$C$7),'PO Data'!$V$2:$V$1001,$B50)</f>
        <v/>
      </c>
      <c r="E50" s="25">
        <f>IFERROR(SUMIFS('PO Data'!$U$2:$U$1001,'PO Data'!$B$2:$B$1001,IF($C$6="All","*",$C$6),'PO Data'!$C$2:$C$1001,IF($C$7="All","*",$C$7),'PO Data'!$V$2:$V$1001,$B50)/COUNTIFS('PO Data'!$B$2:$B$1001,IF($C$6="All","*",$C$6),'PO Data'!$C$2:$C$1001,IF($C$7="All","*",$C$7),'PO Data'!$V$2:$V$1001,$B50,'PO Data'!$U$2:$U$1001,"&gt;=0"),NA())</f>
        <v/>
      </c>
    </row>
    <row r="51">
      <c r="B51" s="29">
        <f>DATE(YEAR($C$8),MONTH($C$8)+9,1)</f>
        <v/>
      </c>
      <c r="C51" s="23">
        <f>COUNTIFS('PO Data'!$B$2:$B$1001,IF($C$6="All","*",$C$6),'PO Data'!$C$2:$C$1001,IF($C$7="All","*",$C$7),'PO Data'!$V$2:$V$1001,$B51)</f>
        <v/>
      </c>
      <c r="D51" s="24">
        <f>SUMIFS('PO Data'!$P$2:$P$1001,'PO Data'!$B$2:$B$1001,IF($C$6="All","*",$C$6),'PO Data'!$C$2:$C$1001,IF($C$7="All","*",$C$7),'PO Data'!$V$2:$V$1001,$B51)</f>
        <v/>
      </c>
      <c r="E51" s="25">
        <f>IFERROR(SUMIFS('PO Data'!$U$2:$U$1001,'PO Data'!$B$2:$B$1001,IF($C$6="All","*",$C$6),'PO Data'!$C$2:$C$1001,IF($C$7="All","*",$C$7),'PO Data'!$V$2:$V$1001,$B51)/COUNTIFS('PO Data'!$B$2:$B$1001,IF($C$6="All","*",$C$6),'PO Data'!$C$2:$C$1001,IF($C$7="All","*",$C$7),'PO Data'!$V$2:$V$1001,$B51,'PO Data'!$U$2:$U$1001,"&gt;=0"),NA())</f>
        <v/>
      </c>
    </row>
    <row r="52">
      <c r="B52" s="29">
        <f>DATE(YEAR($C$8),MONTH($C$8)+10,1)</f>
        <v/>
      </c>
      <c r="C52" s="23">
        <f>COUNTIFS('PO Data'!$B$2:$B$1001,IF($C$6="All","*",$C$6),'PO Data'!$C$2:$C$1001,IF($C$7="All","*",$C$7),'PO Data'!$V$2:$V$1001,$B52)</f>
        <v/>
      </c>
      <c r="D52" s="24">
        <f>SUMIFS('PO Data'!$P$2:$P$1001,'PO Data'!$B$2:$B$1001,IF($C$6="All","*",$C$6),'PO Data'!$C$2:$C$1001,IF($C$7="All","*",$C$7),'PO Data'!$V$2:$V$1001,$B52)</f>
        <v/>
      </c>
      <c r="E52" s="25">
        <f>IFERROR(SUMIFS('PO Data'!$U$2:$U$1001,'PO Data'!$B$2:$B$1001,IF($C$6="All","*",$C$6),'PO Data'!$C$2:$C$1001,IF($C$7="All","*",$C$7),'PO Data'!$V$2:$V$1001,$B52)/COUNTIFS('PO Data'!$B$2:$B$1001,IF($C$6="All","*",$C$6),'PO Data'!$C$2:$C$1001,IF($C$7="All","*",$C$7),'PO Data'!$V$2:$V$1001,$B52,'PO Data'!$U$2:$U$1001,"&gt;=0"),NA())</f>
        <v/>
      </c>
    </row>
    <row r="53">
      <c r="B53" s="29">
        <f>DATE(YEAR($C$8),MONTH($C$8)+11,1)</f>
        <v/>
      </c>
      <c r="C53" s="23">
        <f>COUNTIFS('PO Data'!$B$2:$B$1001,IF($C$6="All","*",$C$6),'PO Data'!$C$2:$C$1001,IF($C$7="All","*",$C$7),'PO Data'!$V$2:$V$1001,$B53)</f>
        <v/>
      </c>
      <c r="D53" s="24">
        <f>SUMIFS('PO Data'!$P$2:$P$1001,'PO Data'!$B$2:$B$1001,IF($C$6="All","*",$C$6),'PO Data'!$C$2:$C$1001,IF($C$7="All","*",$C$7),'PO Data'!$V$2:$V$1001,$B53)</f>
        <v/>
      </c>
      <c r="E53" s="25">
        <f>IFERROR(SUMIFS('PO Data'!$U$2:$U$1001,'PO Data'!$B$2:$B$1001,IF($C$6="All","*",$C$6),'PO Data'!$C$2:$C$1001,IF($C$7="All","*",$C$7),'PO Data'!$V$2:$V$1001,$B53)/COUNTIFS('PO Data'!$B$2:$B$1001,IF($C$6="All","*",$C$6),'PO Data'!$C$2:$C$1001,IF($C$7="All","*",$C$7),'PO Data'!$V$2:$V$1001,$B53,'PO Data'!$U$2:$U$1001,"&gt;=0"),NA())</f>
        <v/>
      </c>
    </row>
    <row r="54">
      <c r="B54" s="28" t="inlineStr">
        <is>
          <t>Shows 12 months starting at “PO date from”. #N/A = no deliveries that month (keeps the chart line clean).</t>
        </is>
      </c>
    </row>
  </sheetData>
  <conditionalFormatting sqref="E12:E20">
    <cfRule type="cellIs" priority="1" operator="equal" dxfId="0">
      <formula>"On target"</formula>
    </cfRule>
    <cfRule type="cellIs" priority="2" operator="equal" dxfId="1">
      <formula>"Off target"</formula>
    </cfRule>
  </conditionalFormatting>
  <conditionalFormatting sqref="E26:E37">
    <cfRule type="expression" priority="3" dxfId="1">
      <formula>AND(E26&lt;&gt;"",E26&lt;$D$13)</formula>
    </cfRule>
  </conditionalFormatting>
  <conditionalFormatting sqref="G26:G37">
    <cfRule type="expression" priority="4" dxfId="1">
      <formula>AND(G26&lt;&gt;"",G26&gt;$D$15)</formula>
    </cfRule>
  </conditionalFormatting>
  <conditionalFormatting sqref="H26:H37">
    <cfRule type="expression" priority="5" dxfId="1">
      <formula>AND(H26&lt;&gt;"",H26&gt;$D$19)</formula>
    </cfRule>
  </conditionalFormatting>
  <conditionalFormatting sqref="I26:I37">
    <cfRule type="expression" priority="6" dxfId="1">
      <formula>AND(I26&lt;&gt;"",I26&gt;$D$20)</formula>
    </cfRule>
  </conditionalFormatting>
  <conditionalFormatting sqref="J26:J37">
    <cfRule type="expression" priority="7" dxfId="1">
      <formula>AND(J26&lt;&gt;"",J26&lt;$D$18)</formula>
    </cfRule>
  </conditionalFormatting>
  <dataValidations count="2">
    <dataValidation sqref="C6" showDropDown="0" showInputMessage="0" showErrorMessage="0" allowBlank="0" type="list">
      <formula1>=SupplierFilter</formula1>
    </dataValidation>
    <dataValidation sqref="C7" showDropDown="0" showInputMessage="0" showErrorMessage="0" allowBlank="0" type="list">
      <formula1>=CategoryFilter</formula1>
    </dataValidation>
  </dataValidations>
  <hyperlinks>
    <hyperlink xmlns:r="http://schemas.openxmlformats.org/officeDocument/2006/relationships" ref="B3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30" t="inlineStr">
        <is>
          <t>Procurement KPI Dashboard: how to use it</t>
        </is>
      </c>
    </row>
    <row r="3">
      <c r="B3" s="31" t="n"/>
    </row>
    <row r="4">
      <c r="B4" s="32" t="inlineStr">
        <is>
          <t>1. Replace the sample data</t>
        </is>
      </c>
    </row>
    <row r="5">
      <c r="B5" s="31" t="inlineStr">
        <is>
          <t>Go to PO Data. Delete the sample rows (select rows 2 down to the last row → right-click → Delete) and paste your own POs into the blue columns, one row per purchase order.</t>
        </is>
      </c>
    </row>
    <row r="6">
      <c r="B6" s="31" t="inlineStr">
        <is>
          <t>Grey-green columns (Total Cost to Month) calculate themselves. Leave Delivery Date empty for POs not yet delivered.</t>
        </is>
      </c>
    </row>
    <row r="7">
      <c r="B7" s="31" t="inlineStr">
        <is>
          <t>Baseline Unit Price = budget, last year's price or list price, whatever you measure savings against.</t>
        </is>
      </c>
    </row>
    <row r="8">
      <c r="B8" s="31" t="inlineStr">
        <is>
          <t>On Contract, Managed by Procurement and Emergency take Y or N.</t>
        </is>
      </c>
    </row>
    <row r="9">
      <c r="B9" s="31" t="n"/>
    </row>
    <row r="10">
      <c r="B10" s="32" t="inlineStr">
        <is>
          <t>2. Add your suppliers and categories</t>
        </is>
      </c>
    </row>
    <row r="11">
      <c r="B11" s="31" t="inlineStr">
        <is>
          <t>Lists sheet: type them under Suppliers and Categories. The drop-downs, filters and the supplier scorecard (up to 12 suppliers) update automatically.</t>
        </is>
      </c>
    </row>
    <row r="12">
      <c r="B12" s="31" t="n"/>
    </row>
    <row r="13">
      <c r="B13" s="32" t="inlineStr">
        <is>
          <t>3. Use the dashboard</t>
        </is>
      </c>
    </row>
    <row r="14">
      <c r="B14" s="31" t="inlineStr">
        <is>
          <t>Yellow cells are settings. Pick a supplier and category (or All) and set the date range; every KPI recalculates.</t>
        </is>
      </c>
    </row>
    <row r="15">
      <c r="B15" s="31" t="inlineStr">
        <is>
          <t>Set your own targets in the Target column. Status and the red flags in the scorecard compare against them.</t>
        </is>
      </c>
    </row>
    <row r="16">
      <c r="B16" s="31" t="inlineStr">
        <is>
          <t>The formulas cover 1,000 POs (rows 2–1001 of PO Data).</t>
        </is>
      </c>
    </row>
    <row r="17">
      <c r="B17" s="31" t="n"/>
    </row>
    <row r="18">
      <c r="B18" s="32" t="inlineStr">
        <is>
          <t>Colour legend</t>
        </is>
      </c>
    </row>
    <row r="19">
      <c r="B19" s="31" t="inlineStr">
        <is>
          <t>Blue text = data or settings you type · Black text = formulas · Yellow fill = settings to change</t>
        </is>
      </c>
    </row>
    <row r="20">
      <c r="B20" s="31" t="n"/>
    </row>
    <row r="21">
      <c r="B21" s="33" t="inlineStr">
        <is>
          <t>The sample data is fictional: invented suppliers and numbers, for illustration only.</t>
        </is>
      </c>
    </row>
    <row r="22">
      <c r="B22" s="31" t="n"/>
    </row>
    <row r="23">
      <c r="B23" s="34" t="inlineStr">
        <is>
          <t>Want this built on your own ERP exports, refreshed in one click? NonStopExcel builds fixed-price Excel dashboards: nonstopexcel.com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80" customWidth="1" min="5" max="5"/>
    <col width="18" customWidth="1" min="7" max="7"/>
    <col width="18" customWidth="1" min="8" max="8"/>
  </cols>
  <sheetData>
    <row r="1">
      <c r="A1" s="35" t="inlineStr">
        <is>
          <t>Suppliers</t>
        </is>
      </c>
      <c r="B1" s="35" t="inlineStr">
        <is>
          <t>Categories</t>
        </is>
      </c>
      <c r="C1" s="35" t="inlineStr">
        <is>
          <t>Yes/No</t>
        </is>
      </c>
      <c r="E1" s="6" t="inlineStr">
        <is>
          <t>Add new suppliers or categories at the bottom of these lists (up to row 50); the drop-downs and scorecard pick them up.</t>
        </is>
      </c>
      <c r="G1" s="35" t="inlineStr">
        <is>
          <t>Supplier filter</t>
        </is>
      </c>
      <c r="H1" s="35" t="inlineStr">
        <is>
          <t>Category filter</t>
        </is>
      </c>
    </row>
    <row r="2">
      <c r="A2" s="36" t="inlineStr">
        <is>
          <t>Adria Packaging</t>
        </is>
      </c>
      <c r="B2" s="36" t="inlineStr">
        <is>
          <t>Raw Materials</t>
        </is>
      </c>
      <c r="C2" s="36" t="inlineStr">
        <is>
          <t>Y</t>
        </is>
      </c>
      <c r="G2" t="inlineStr">
        <is>
          <t>All</t>
        </is>
      </c>
      <c r="H2" t="inlineStr">
        <is>
          <t>All</t>
        </is>
      </c>
    </row>
    <row r="3">
      <c r="A3" s="36" t="inlineStr">
        <is>
          <t>Bluewave Logistics</t>
        </is>
      </c>
      <c r="B3" s="36" t="inlineStr">
        <is>
          <t>Packaging</t>
        </is>
      </c>
      <c r="C3" s="36" t="inlineStr">
        <is>
          <t>N</t>
        </is>
      </c>
      <c r="G3">
        <f>IF(A2="","",A2)</f>
        <v/>
      </c>
      <c r="H3">
        <f>IF(B2="","",B2)</f>
        <v/>
      </c>
    </row>
    <row r="4">
      <c r="A4" s="36" t="inlineStr">
        <is>
          <t>Danubia Chemicals</t>
        </is>
      </c>
      <c r="B4" s="36" t="inlineStr">
        <is>
          <t>MRO</t>
        </is>
      </c>
      <c r="C4" s="36" t="n"/>
      <c r="G4">
        <f>IF(A3="","",A3)</f>
        <v/>
      </c>
      <c r="H4">
        <f>IF(B3="","",B3)</f>
        <v/>
      </c>
    </row>
    <row r="5">
      <c r="A5" s="36" t="inlineStr">
        <is>
          <t>Kestrel Office Supply</t>
        </is>
      </c>
      <c r="B5" s="36" t="inlineStr">
        <is>
          <t>Logistics</t>
        </is>
      </c>
      <c r="C5" s="36" t="n"/>
      <c r="G5">
        <f>IF(A4="","",A4)</f>
        <v/>
      </c>
      <c r="H5">
        <f>IF(B4="","",B4)</f>
        <v/>
      </c>
    </row>
    <row r="6">
      <c r="A6" s="36" t="inlineStr">
        <is>
          <t>Nordline Industrial</t>
        </is>
      </c>
      <c r="B6" s="36" t="inlineStr">
        <is>
          <t>Office</t>
        </is>
      </c>
      <c r="C6" s="36" t="n"/>
      <c r="G6">
        <f>IF(A5="","",A5)</f>
        <v/>
      </c>
      <c r="H6">
        <f>IF(B5="","",B5)</f>
        <v/>
      </c>
    </row>
    <row r="7">
      <c r="A7" s="36" t="inlineStr">
        <is>
          <t>Vektor Components</t>
        </is>
      </c>
      <c r="B7" s="36" t="inlineStr">
        <is>
          <t>IT</t>
        </is>
      </c>
      <c r="C7" s="36" t="n"/>
      <c r="G7">
        <f>IF(A6="","",A6)</f>
        <v/>
      </c>
      <c r="H7">
        <f>IF(B6="","",B6)</f>
        <v/>
      </c>
    </row>
    <row r="8">
      <c r="A8" s="36" t="n"/>
      <c r="B8" s="36" t="n"/>
      <c r="C8" s="36" t="n"/>
      <c r="G8">
        <f>IF(A7="","",A7)</f>
        <v/>
      </c>
      <c r="H8">
        <f>IF(B7="","",B7)</f>
        <v/>
      </c>
    </row>
    <row r="9">
      <c r="A9" s="36" t="n"/>
      <c r="B9" s="36" t="n"/>
      <c r="C9" s="36" t="n"/>
      <c r="G9">
        <f>IF(A8="","",A8)</f>
        <v/>
      </c>
      <c r="H9">
        <f>IF(B8="","",B8)</f>
        <v/>
      </c>
    </row>
    <row r="10">
      <c r="A10" s="36" t="n"/>
      <c r="B10" s="36" t="n"/>
      <c r="C10" s="36" t="n"/>
      <c r="G10">
        <f>IF(A9="","",A9)</f>
        <v/>
      </c>
      <c r="H10">
        <f>IF(B9="","",B9)</f>
        <v/>
      </c>
    </row>
    <row r="11">
      <c r="A11" s="36" t="n"/>
      <c r="B11" s="36" t="n"/>
      <c r="C11" s="36" t="n"/>
      <c r="G11">
        <f>IF(A10="","",A10)</f>
        <v/>
      </c>
      <c r="H11">
        <f>IF(B10="","",B10)</f>
        <v/>
      </c>
    </row>
    <row r="12">
      <c r="A12" s="36" t="n"/>
      <c r="B12" s="36" t="n"/>
      <c r="C12" s="36" t="n"/>
      <c r="G12">
        <f>IF(A11="","",A11)</f>
        <v/>
      </c>
      <c r="H12">
        <f>IF(B11="","",B11)</f>
        <v/>
      </c>
    </row>
    <row r="13">
      <c r="A13" s="36" t="n"/>
      <c r="B13" s="36" t="n"/>
      <c r="C13" s="36" t="n"/>
      <c r="G13">
        <f>IF(A12="","",A12)</f>
        <v/>
      </c>
      <c r="H13">
        <f>IF(B12="","",B12)</f>
        <v/>
      </c>
    </row>
    <row r="14">
      <c r="A14" s="36" t="n"/>
      <c r="B14" s="36" t="n"/>
      <c r="C14" s="36" t="n"/>
      <c r="G14">
        <f>IF(A13="","",A13)</f>
        <v/>
      </c>
      <c r="H14">
        <f>IF(B13="","",B13)</f>
        <v/>
      </c>
    </row>
    <row r="15">
      <c r="A15" s="36" t="n"/>
      <c r="B15" s="36" t="n"/>
      <c r="C15" s="36" t="n"/>
      <c r="G15">
        <f>IF(A14="","",A14)</f>
        <v/>
      </c>
      <c r="H15">
        <f>IF(B14="","",B14)</f>
        <v/>
      </c>
    </row>
    <row r="16">
      <c r="A16" s="36" t="n"/>
      <c r="B16" s="36" t="n"/>
      <c r="C16" s="36" t="n"/>
      <c r="G16">
        <f>IF(A15="","",A15)</f>
        <v/>
      </c>
      <c r="H16">
        <f>IF(B15="","",B15)</f>
        <v/>
      </c>
    </row>
    <row r="17">
      <c r="A17" s="36" t="n"/>
      <c r="B17" s="36" t="n"/>
      <c r="C17" s="36" t="n"/>
      <c r="G17">
        <f>IF(A16="","",A16)</f>
        <v/>
      </c>
      <c r="H17">
        <f>IF(B16="","",B16)</f>
        <v/>
      </c>
    </row>
    <row r="18">
      <c r="A18" s="36" t="n"/>
      <c r="B18" s="36" t="n"/>
      <c r="C18" s="36" t="n"/>
      <c r="G18">
        <f>IF(A17="","",A17)</f>
        <v/>
      </c>
      <c r="H18">
        <f>IF(B17="","",B17)</f>
        <v/>
      </c>
    </row>
    <row r="19">
      <c r="A19" s="36" t="n"/>
      <c r="B19" s="36" t="n"/>
      <c r="C19" s="36" t="n"/>
      <c r="G19">
        <f>IF(A18="","",A18)</f>
        <v/>
      </c>
      <c r="H19">
        <f>IF(B18="","",B18)</f>
        <v/>
      </c>
    </row>
    <row r="20">
      <c r="A20" s="36" t="n"/>
      <c r="B20" s="36" t="n"/>
      <c r="C20" s="36" t="n"/>
      <c r="G20">
        <f>IF(A19="","",A19)</f>
        <v/>
      </c>
      <c r="H20">
        <f>IF(B19="","",B19)</f>
        <v/>
      </c>
    </row>
    <row r="21">
      <c r="A21" s="36" t="n"/>
      <c r="B21" s="36" t="n"/>
      <c r="C21" s="36" t="n"/>
      <c r="G21">
        <f>IF(A20="","",A20)</f>
        <v/>
      </c>
      <c r="H21">
        <f>IF(B20="","",B20)</f>
        <v/>
      </c>
    </row>
    <row r="22">
      <c r="A22" s="36" t="n"/>
      <c r="B22" s="36" t="n"/>
      <c r="C22" s="36" t="n"/>
      <c r="G22">
        <f>IF(A21="","",A21)</f>
        <v/>
      </c>
      <c r="H22">
        <f>IF(B21="","",B21)</f>
        <v/>
      </c>
    </row>
    <row r="23">
      <c r="A23" s="36" t="n"/>
      <c r="B23" s="36" t="n"/>
      <c r="C23" s="36" t="n"/>
      <c r="G23">
        <f>IF(A22="","",A22)</f>
        <v/>
      </c>
      <c r="H23">
        <f>IF(B22="","",B22)</f>
        <v/>
      </c>
    </row>
    <row r="24">
      <c r="A24" s="36" t="n"/>
      <c r="B24" s="36" t="n"/>
      <c r="C24" s="36" t="n"/>
      <c r="G24">
        <f>IF(A23="","",A23)</f>
        <v/>
      </c>
      <c r="H24">
        <f>IF(B23="","",B23)</f>
        <v/>
      </c>
    </row>
    <row r="25">
      <c r="A25" s="36" t="n"/>
      <c r="B25" s="36" t="n"/>
      <c r="C25" s="36" t="n"/>
      <c r="G25">
        <f>IF(A24="","",A24)</f>
        <v/>
      </c>
      <c r="H25">
        <f>IF(B24="","",B24)</f>
        <v/>
      </c>
    </row>
    <row r="26">
      <c r="A26" s="36" t="n"/>
      <c r="B26" s="36" t="n"/>
      <c r="C26" s="36" t="n"/>
      <c r="G26">
        <f>IF(A25="","",A25)</f>
        <v/>
      </c>
      <c r="H26">
        <f>IF(B25="","",B25)</f>
        <v/>
      </c>
    </row>
    <row r="27">
      <c r="A27" s="36" t="n"/>
      <c r="B27" s="36" t="n"/>
      <c r="C27" s="36" t="n"/>
      <c r="G27">
        <f>IF(A26="","",A26)</f>
        <v/>
      </c>
      <c r="H27">
        <f>IF(B26="","",B26)</f>
        <v/>
      </c>
    </row>
    <row r="28">
      <c r="A28" s="36" t="n"/>
      <c r="B28" s="36" t="n"/>
      <c r="C28" s="36" t="n"/>
      <c r="G28">
        <f>IF(A27="","",A27)</f>
        <v/>
      </c>
      <c r="H28">
        <f>IF(B27="","",B27)</f>
        <v/>
      </c>
    </row>
    <row r="29">
      <c r="A29" s="36" t="n"/>
      <c r="B29" s="36" t="n"/>
      <c r="C29" s="36" t="n"/>
      <c r="G29">
        <f>IF(A28="","",A28)</f>
        <v/>
      </c>
      <c r="H29">
        <f>IF(B28="","",B28)</f>
        <v/>
      </c>
    </row>
    <row r="30">
      <c r="A30" s="36" t="n"/>
      <c r="B30" s="36" t="n"/>
      <c r="C30" s="36" t="n"/>
      <c r="G30">
        <f>IF(A29="","",A29)</f>
        <v/>
      </c>
      <c r="H30">
        <f>IF(B29="","",B29)</f>
        <v/>
      </c>
    </row>
    <row r="31">
      <c r="A31" s="36" t="n"/>
      <c r="B31" s="36" t="n"/>
      <c r="C31" s="36" t="n"/>
      <c r="G31">
        <f>IF(A30="","",A30)</f>
        <v/>
      </c>
      <c r="H31">
        <f>IF(B30="","",B30)</f>
        <v/>
      </c>
    </row>
    <row r="32">
      <c r="A32" s="36" t="n"/>
      <c r="B32" s="36" t="n"/>
      <c r="C32" s="36" t="n"/>
      <c r="G32">
        <f>IF(A31="","",A31)</f>
        <v/>
      </c>
      <c r="H32">
        <f>IF(B31="","",B31)</f>
        <v/>
      </c>
    </row>
    <row r="33">
      <c r="A33" s="36" t="n"/>
      <c r="B33" s="36" t="n"/>
      <c r="C33" s="36" t="n"/>
      <c r="G33">
        <f>IF(A32="","",A32)</f>
        <v/>
      </c>
      <c r="H33">
        <f>IF(B32="","",B32)</f>
        <v/>
      </c>
    </row>
    <row r="34">
      <c r="A34" s="36" t="n"/>
      <c r="B34" s="36" t="n"/>
      <c r="C34" s="36" t="n"/>
      <c r="G34">
        <f>IF(A33="","",A33)</f>
        <v/>
      </c>
      <c r="H34">
        <f>IF(B33="","",B33)</f>
        <v/>
      </c>
    </row>
    <row r="35">
      <c r="A35" s="36" t="n"/>
      <c r="B35" s="36" t="n"/>
      <c r="C35" s="36" t="n"/>
      <c r="G35">
        <f>IF(A34="","",A34)</f>
        <v/>
      </c>
      <c r="H35">
        <f>IF(B34="","",B34)</f>
        <v/>
      </c>
    </row>
    <row r="36">
      <c r="A36" s="36" t="n"/>
      <c r="B36" s="36" t="n"/>
      <c r="C36" s="36" t="n"/>
      <c r="G36">
        <f>IF(A35="","",A35)</f>
        <v/>
      </c>
      <c r="H36">
        <f>IF(B35="","",B35)</f>
        <v/>
      </c>
    </row>
    <row r="37">
      <c r="A37" s="36" t="n"/>
      <c r="B37" s="36" t="n"/>
      <c r="C37" s="36" t="n"/>
      <c r="G37">
        <f>IF(A36="","",A36)</f>
        <v/>
      </c>
      <c r="H37">
        <f>IF(B36="","",B36)</f>
        <v/>
      </c>
    </row>
    <row r="38">
      <c r="A38" s="36" t="n"/>
      <c r="B38" s="36" t="n"/>
      <c r="C38" s="36" t="n"/>
      <c r="G38">
        <f>IF(A37="","",A37)</f>
        <v/>
      </c>
      <c r="H38">
        <f>IF(B37="","",B37)</f>
        <v/>
      </c>
    </row>
    <row r="39">
      <c r="A39" s="36" t="n"/>
      <c r="B39" s="36" t="n"/>
      <c r="C39" s="36" t="n"/>
      <c r="G39">
        <f>IF(A38="","",A38)</f>
        <v/>
      </c>
      <c r="H39">
        <f>IF(B38="","",B38)</f>
        <v/>
      </c>
    </row>
    <row r="40">
      <c r="A40" s="36" t="n"/>
      <c r="B40" s="36" t="n"/>
      <c r="C40" s="36" t="n"/>
      <c r="G40">
        <f>IF(A39="","",A39)</f>
        <v/>
      </c>
      <c r="H40">
        <f>IF(B39="","",B39)</f>
        <v/>
      </c>
    </row>
    <row r="41">
      <c r="A41" s="36" t="n"/>
      <c r="B41" s="36" t="n"/>
      <c r="C41" s="36" t="n"/>
      <c r="G41">
        <f>IF(A40="","",A40)</f>
        <v/>
      </c>
      <c r="H41">
        <f>IF(B40="","",B40)</f>
        <v/>
      </c>
    </row>
    <row r="42">
      <c r="A42" s="36" t="n"/>
      <c r="B42" s="36" t="n"/>
      <c r="C42" s="36" t="n"/>
      <c r="G42">
        <f>IF(A41="","",A41)</f>
        <v/>
      </c>
      <c r="H42">
        <f>IF(B41="","",B41)</f>
        <v/>
      </c>
    </row>
    <row r="43">
      <c r="A43" s="36" t="n"/>
      <c r="B43" s="36" t="n"/>
      <c r="C43" s="36" t="n"/>
      <c r="G43">
        <f>IF(A42="","",A42)</f>
        <v/>
      </c>
      <c r="H43">
        <f>IF(B42="","",B42)</f>
        <v/>
      </c>
    </row>
    <row r="44">
      <c r="A44" s="36" t="n"/>
      <c r="B44" s="36" t="n"/>
      <c r="C44" s="36" t="n"/>
      <c r="G44">
        <f>IF(A43="","",A43)</f>
        <v/>
      </c>
      <c r="H44">
        <f>IF(B43="","",B43)</f>
        <v/>
      </c>
    </row>
    <row r="45">
      <c r="A45" s="36" t="n"/>
      <c r="B45" s="36" t="n"/>
      <c r="C45" s="36" t="n"/>
      <c r="G45">
        <f>IF(A44="","",A44)</f>
        <v/>
      </c>
      <c r="H45">
        <f>IF(B44="","",B44)</f>
        <v/>
      </c>
    </row>
    <row r="46">
      <c r="A46" s="36" t="n"/>
      <c r="B46" s="36" t="n"/>
      <c r="C46" s="36" t="n"/>
      <c r="G46">
        <f>IF(A45="","",A45)</f>
        <v/>
      </c>
      <c r="H46">
        <f>IF(B45="","",B45)</f>
        <v/>
      </c>
    </row>
    <row r="47">
      <c r="A47" s="36" t="n"/>
      <c r="B47" s="36" t="n"/>
      <c r="C47" s="36" t="n"/>
      <c r="G47">
        <f>IF(A46="","",A46)</f>
        <v/>
      </c>
      <c r="H47">
        <f>IF(B46="","",B46)</f>
        <v/>
      </c>
    </row>
    <row r="48">
      <c r="A48" s="36" t="n"/>
      <c r="B48" s="36" t="n"/>
      <c r="C48" s="36" t="n"/>
      <c r="G48">
        <f>IF(A47="","",A47)</f>
        <v/>
      </c>
      <c r="H48">
        <f>IF(B47="","",B47)</f>
        <v/>
      </c>
    </row>
    <row r="49">
      <c r="A49" s="36" t="n"/>
      <c r="B49" s="36" t="n"/>
      <c r="C49" s="36" t="n"/>
      <c r="G49">
        <f>IF(A48="","",A48)</f>
        <v/>
      </c>
      <c r="H49">
        <f>IF(B48="","",B48)</f>
        <v/>
      </c>
    </row>
    <row r="50">
      <c r="A50" s="36" t="n"/>
      <c r="B50" s="36" t="n"/>
      <c r="C50" s="36" t="n"/>
      <c r="G50">
        <f>IF(A49="","",A49)</f>
        <v/>
      </c>
      <c r="H50">
        <f>IF(B49="","",B49)</f>
        <v/>
      </c>
    </row>
    <row r="51">
      <c r="G51">
        <f>IF(A50="","",A50)</f>
        <v/>
      </c>
      <c r="H51">
        <f>IF(B50="","",B50)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14" customWidth="1" min="4" max="4"/>
    <col width="12" customWidth="1" min="5" max="5"/>
    <col width="14" customWidth="1" min="6" max="6"/>
    <col width="13" customWidth="1" min="7" max="7"/>
    <col width="11" customWidth="1" min="8" max="8"/>
    <col width="12" customWidth="1" min="9" max="9"/>
    <col width="12" customWidth="1" min="10" max="10"/>
    <col width="11" customWidth="1" min="11" max="11"/>
    <col width="15" customWidth="1" min="12" max="12"/>
    <col width="11" customWidth="1" min="13" max="13"/>
    <col width="14" customWidth="1" min="14" max="14"/>
    <col width="11" customWidth="1" min="15" max="15"/>
    <col width="13" customWidth="1" min="16" max="16"/>
    <col width="13" customWidth="1" min="17" max="17"/>
    <col width="12" customWidth="1" min="18" max="18"/>
    <col width="11" customWidth="1" min="19" max="19"/>
    <col width="11" customWidth="1" min="20" max="20"/>
    <col width="9" customWidth="1" min="21" max="21"/>
    <col width="10" customWidth="1" min="22" max="22"/>
  </cols>
  <sheetData>
    <row r="1" ht="30" customHeight="1">
      <c r="A1" s="37" t="inlineStr">
        <is>
          <t>PO Number</t>
        </is>
      </c>
      <c r="B1" s="37" t="inlineStr">
        <is>
          <t>Supplier</t>
        </is>
      </c>
      <c r="C1" s="37" t="inlineStr">
        <is>
          <t>Category</t>
        </is>
      </c>
      <c r="D1" s="37" t="inlineStr">
        <is>
          <t>Requisition Date</t>
        </is>
      </c>
      <c r="E1" s="37" t="inlineStr">
        <is>
          <t>PO Date</t>
        </is>
      </c>
      <c r="F1" s="37" t="inlineStr">
        <is>
          <t>Promised Date</t>
        </is>
      </c>
      <c r="G1" s="37" t="inlineStr">
        <is>
          <t>Delivery Date</t>
        </is>
      </c>
      <c r="H1" s="37" t="inlineStr">
        <is>
          <t>Qty Ordered</t>
        </is>
      </c>
      <c r="I1" s="37" t="inlineStr">
        <is>
          <t>Qty Received</t>
        </is>
      </c>
      <c r="J1" s="37" t="inlineStr">
        <is>
          <t>Qty Rejected</t>
        </is>
      </c>
      <c r="K1" s="37" t="inlineStr">
        <is>
          <t>Unit Price</t>
        </is>
      </c>
      <c r="L1" s="37" t="inlineStr">
        <is>
          <t>Baseline Unit Price</t>
        </is>
      </c>
      <c r="M1" s="37" t="inlineStr">
        <is>
          <t>On Contract</t>
        </is>
      </c>
      <c r="N1" s="37" t="inlineStr">
        <is>
          <t>Managed by Procurement</t>
        </is>
      </c>
      <c r="O1" s="37" t="inlineStr">
        <is>
          <t>Emergency</t>
        </is>
      </c>
      <c r="P1" s="38" t="inlineStr">
        <is>
          <t>Total Cost</t>
        </is>
      </c>
      <c r="Q1" s="38" t="inlineStr">
        <is>
          <t>Baseline Cost</t>
        </is>
      </c>
      <c r="R1" s="38" t="inlineStr">
        <is>
          <t>Savings</t>
        </is>
      </c>
      <c r="S1" s="38" t="inlineStr">
        <is>
          <t>PO Cycle Days</t>
        </is>
      </c>
      <c r="T1" s="38" t="inlineStr">
        <is>
          <t>Lead Time Days</t>
        </is>
      </c>
      <c r="U1" s="38" t="inlineStr">
        <is>
          <t>On Time</t>
        </is>
      </c>
      <c r="V1" s="38" t="inlineStr">
        <is>
          <t>Month</t>
        </is>
      </c>
    </row>
    <row r="2">
      <c r="A2" s="36" t="inlineStr">
        <is>
          <t>PO-26001</t>
        </is>
      </c>
      <c r="B2" s="36" t="inlineStr">
        <is>
          <t>Vektor Components</t>
        </is>
      </c>
      <c r="C2" s="36" t="inlineStr">
        <is>
          <t>Raw Materials</t>
        </is>
      </c>
      <c r="D2" s="39" t="n">
        <v>45927</v>
      </c>
      <c r="E2" s="39" t="n">
        <v>45931</v>
      </c>
      <c r="F2" s="39" t="n">
        <v>45943</v>
      </c>
      <c r="G2" s="39" t="n">
        <v>45943</v>
      </c>
      <c r="H2" s="40" t="n">
        <v>1585</v>
      </c>
      <c r="I2" s="40" t="n">
        <v>1585</v>
      </c>
      <c r="J2" s="40" t="n">
        <v>6</v>
      </c>
      <c r="K2" s="41" t="n">
        <v>30.21</v>
      </c>
      <c r="L2" s="41" t="n">
        <v>31.7</v>
      </c>
      <c r="M2" s="36" t="inlineStr">
        <is>
          <t>Y</t>
        </is>
      </c>
      <c r="N2" s="36" t="inlineStr">
        <is>
          <t>Y</t>
        </is>
      </c>
      <c r="O2" s="36" t="inlineStr">
        <is>
          <t>N</t>
        </is>
      </c>
      <c r="P2" s="42">
        <f>H2*K2</f>
        <v/>
      </c>
      <c r="Q2" s="42">
        <f>H2*L2</f>
        <v/>
      </c>
      <c r="R2" s="43">
        <f>Q2-P2</f>
        <v/>
      </c>
      <c r="S2" s="44">
        <f>E2-D2</f>
        <v/>
      </c>
      <c r="T2" s="44">
        <f>IF(G2="","",G2-E2)</f>
        <v/>
      </c>
      <c r="U2" s="44">
        <f>IF(G2="","",IF(G2&lt;=F2,1,0))</f>
        <v/>
      </c>
      <c r="V2" s="45">
        <f>DATE(YEAR(E2),MONTH(E2),1)</f>
        <v/>
      </c>
    </row>
    <row r="3">
      <c r="A3" s="36" t="inlineStr">
        <is>
          <t>PO-26002</t>
        </is>
      </c>
      <c r="B3" s="36" t="inlineStr">
        <is>
          <t>Nordline Industrial</t>
        </is>
      </c>
      <c r="C3" s="36" t="inlineStr">
        <is>
          <t>Raw Materials</t>
        </is>
      </c>
      <c r="D3" s="39" t="n">
        <v>45929</v>
      </c>
      <c r="E3" s="39" t="n">
        <v>45933</v>
      </c>
      <c r="F3" s="39" t="n">
        <v>45947</v>
      </c>
      <c r="G3" s="39" t="n">
        <v>45947</v>
      </c>
      <c r="H3" s="40" t="n">
        <v>501</v>
      </c>
      <c r="I3" s="40" t="n">
        <v>501</v>
      </c>
      <c r="J3" s="40" t="n">
        <v>5</v>
      </c>
      <c r="K3" s="41" t="n">
        <v>8.279999999999999</v>
      </c>
      <c r="L3" s="41" t="n">
        <v>8.779999999999999</v>
      </c>
      <c r="M3" s="36" t="inlineStr">
        <is>
          <t>Y</t>
        </is>
      </c>
      <c r="N3" s="36" t="inlineStr">
        <is>
          <t>Y</t>
        </is>
      </c>
      <c r="O3" s="36" t="inlineStr">
        <is>
          <t>N</t>
        </is>
      </c>
      <c r="P3" s="42">
        <f>H3*K3</f>
        <v/>
      </c>
      <c r="Q3" s="42">
        <f>H3*L3</f>
        <v/>
      </c>
      <c r="R3" s="43">
        <f>Q3-P3</f>
        <v/>
      </c>
      <c r="S3" s="44">
        <f>E3-D3</f>
        <v/>
      </c>
      <c r="T3" s="44">
        <f>IF(G3="","",G3-E3)</f>
        <v/>
      </c>
      <c r="U3" s="44">
        <f>IF(G3="","",IF(G3&lt;=F3,1,0))</f>
        <v/>
      </c>
      <c r="V3" s="45">
        <f>DATE(YEAR(E3),MONTH(E3),1)</f>
        <v/>
      </c>
    </row>
    <row r="4">
      <c r="A4" s="36" t="inlineStr">
        <is>
          <t>PO-26003</t>
        </is>
      </c>
      <c r="B4" s="36" t="inlineStr">
        <is>
          <t>Vektor Components</t>
        </is>
      </c>
      <c r="C4" s="36" t="inlineStr">
        <is>
          <t>IT</t>
        </is>
      </c>
      <c r="D4" s="39" t="n">
        <v>45930</v>
      </c>
      <c r="E4" s="39" t="n">
        <v>45937</v>
      </c>
      <c r="F4" s="39" t="n">
        <v>45954</v>
      </c>
      <c r="G4" s="39" t="n">
        <v>45957</v>
      </c>
      <c r="H4" s="40" t="n">
        <v>17</v>
      </c>
      <c r="I4" s="40" t="n">
        <v>17</v>
      </c>
      <c r="J4" s="40" t="n">
        <v>1</v>
      </c>
      <c r="K4" s="41" t="n">
        <v>860.08</v>
      </c>
      <c r="L4" s="41" t="n">
        <v>871.51</v>
      </c>
      <c r="M4" s="36" t="inlineStr">
        <is>
          <t>Y</t>
        </is>
      </c>
      <c r="N4" s="36" t="inlineStr">
        <is>
          <t>Y</t>
        </is>
      </c>
      <c r="O4" s="36" t="inlineStr">
        <is>
          <t>N</t>
        </is>
      </c>
      <c r="P4" s="42">
        <f>H4*K4</f>
        <v/>
      </c>
      <c r="Q4" s="42">
        <f>H4*L4</f>
        <v/>
      </c>
      <c r="R4" s="43">
        <f>Q4-P4</f>
        <v/>
      </c>
      <c r="S4" s="44">
        <f>E4-D4</f>
        <v/>
      </c>
      <c r="T4" s="44">
        <f>IF(G4="","",G4-E4)</f>
        <v/>
      </c>
      <c r="U4" s="44">
        <f>IF(G4="","",IF(G4&lt;=F4,1,0))</f>
        <v/>
      </c>
      <c r="V4" s="45">
        <f>DATE(YEAR(E4),MONTH(E4),1)</f>
        <v/>
      </c>
    </row>
    <row r="5">
      <c r="A5" s="36" t="inlineStr">
        <is>
          <t>PO-26004</t>
        </is>
      </c>
      <c r="B5" s="36" t="inlineStr">
        <is>
          <t>Nordline Industrial</t>
        </is>
      </c>
      <c r="C5" s="36" t="inlineStr">
        <is>
          <t>Raw Materials</t>
        </is>
      </c>
      <c r="D5" s="39" t="n">
        <v>45930</v>
      </c>
      <c r="E5" s="39" t="n">
        <v>45938</v>
      </c>
      <c r="F5" s="39" t="n">
        <v>45944</v>
      </c>
      <c r="G5" s="39" t="n">
        <v>45944</v>
      </c>
      <c r="H5" s="40" t="n">
        <v>1492</v>
      </c>
      <c r="I5" s="40" t="n">
        <v>1492</v>
      </c>
      <c r="J5" s="40" t="n">
        <v>1</v>
      </c>
      <c r="K5" s="41" t="n">
        <v>27.52</v>
      </c>
      <c r="L5" s="41" t="n">
        <v>29.9</v>
      </c>
      <c r="M5" s="36" t="inlineStr">
        <is>
          <t>Y</t>
        </is>
      </c>
      <c r="N5" s="36" t="inlineStr">
        <is>
          <t>Y</t>
        </is>
      </c>
      <c r="O5" s="36" t="inlineStr">
        <is>
          <t>N</t>
        </is>
      </c>
      <c r="P5" s="42">
        <f>H5*K5</f>
        <v/>
      </c>
      <c r="Q5" s="42">
        <f>H5*L5</f>
        <v/>
      </c>
      <c r="R5" s="43">
        <f>Q5-P5</f>
        <v/>
      </c>
      <c r="S5" s="44">
        <f>E5-D5</f>
        <v/>
      </c>
      <c r="T5" s="44">
        <f>IF(G5="","",G5-E5)</f>
        <v/>
      </c>
      <c r="U5" s="44">
        <f>IF(G5="","",IF(G5&lt;=F5,1,0))</f>
        <v/>
      </c>
      <c r="V5" s="45">
        <f>DATE(YEAR(E5),MONTH(E5),1)</f>
        <v/>
      </c>
    </row>
    <row r="6">
      <c r="A6" s="36" t="inlineStr">
        <is>
          <t>PO-26005</t>
        </is>
      </c>
      <c r="B6" s="36" t="inlineStr">
        <is>
          <t>Nordline Industrial</t>
        </is>
      </c>
      <c r="C6" s="36" t="inlineStr">
        <is>
          <t>MRO</t>
        </is>
      </c>
      <c r="D6" s="39" t="n">
        <v>45932</v>
      </c>
      <c r="E6" s="39" t="n">
        <v>45941</v>
      </c>
      <c r="F6" s="39" t="n">
        <v>45950</v>
      </c>
      <c r="G6" s="39" t="n">
        <v>45958</v>
      </c>
      <c r="H6" s="40" t="n">
        <v>11</v>
      </c>
      <c r="I6" s="40" t="n">
        <v>11</v>
      </c>
      <c r="J6" s="40" t="n">
        <v>0</v>
      </c>
      <c r="K6" s="41" t="n">
        <v>98.98999999999999</v>
      </c>
      <c r="L6" s="41" t="n">
        <v>100.15</v>
      </c>
      <c r="M6" s="36" t="inlineStr">
        <is>
          <t>Y</t>
        </is>
      </c>
      <c r="N6" s="36" t="inlineStr">
        <is>
          <t>Y</t>
        </is>
      </c>
      <c r="O6" s="36" t="inlineStr">
        <is>
          <t>N</t>
        </is>
      </c>
      <c r="P6" s="42">
        <f>H6*K6</f>
        <v/>
      </c>
      <c r="Q6" s="42">
        <f>H6*L6</f>
        <v/>
      </c>
      <c r="R6" s="43">
        <f>Q6-P6</f>
        <v/>
      </c>
      <c r="S6" s="44">
        <f>E6-D6</f>
        <v/>
      </c>
      <c r="T6" s="44">
        <f>IF(G6="","",G6-E6)</f>
        <v/>
      </c>
      <c r="U6" s="44">
        <f>IF(G6="","",IF(G6&lt;=F6,1,0))</f>
        <v/>
      </c>
      <c r="V6" s="45">
        <f>DATE(YEAR(E6),MONTH(E6),1)</f>
        <v/>
      </c>
    </row>
    <row r="7">
      <c r="A7" s="36" t="inlineStr">
        <is>
          <t>PO-26006</t>
        </is>
      </c>
      <c r="B7" s="36" t="inlineStr">
        <is>
          <t>Vektor Components</t>
        </is>
      </c>
      <c r="C7" s="36" t="inlineStr">
        <is>
          <t>MRO</t>
        </is>
      </c>
      <c r="D7" s="39" t="n">
        <v>45936</v>
      </c>
      <c r="E7" s="39" t="n">
        <v>45942</v>
      </c>
      <c r="F7" s="39" t="n">
        <v>45949</v>
      </c>
      <c r="G7" s="39" t="n">
        <v>45947</v>
      </c>
      <c r="H7" s="40" t="n">
        <v>48</v>
      </c>
      <c r="I7" s="40" t="n">
        <v>48</v>
      </c>
      <c r="J7" s="40" t="n">
        <v>1</v>
      </c>
      <c r="K7" s="41" t="n">
        <v>54.29</v>
      </c>
      <c r="L7" s="41" t="n">
        <v>55.59</v>
      </c>
      <c r="M7" s="36" t="inlineStr">
        <is>
          <t>Y</t>
        </is>
      </c>
      <c r="N7" s="36" t="inlineStr">
        <is>
          <t>Y</t>
        </is>
      </c>
      <c r="O7" s="36" t="inlineStr">
        <is>
          <t>N</t>
        </is>
      </c>
      <c r="P7" s="42">
        <f>H7*K7</f>
        <v/>
      </c>
      <c r="Q7" s="42">
        <f>H7*L7</f>
        <v/>
      </c>
      <c r="R7" s="43">
        <f>Q7-P7</f>
        <v/>
      </c>
      <c r="S7" s="44">
        <f>E7-D7</f>
        <v/>
      </c>
      <c r="T7" s="44">
        <f>IF(G7="","",G7-E7)</f>
        <v/>
      </c>
      <c r="U7" s="44">
        <f>IF(G7="","",IF(G7&lt;=F7,1,0))</f>
        <v/>
      </c>
      <c r="V7" s="45">
        <f>DATE(YEAR(E7),MONTH(E7),1)</f>
        <v/>
      </c>
    </row>
    <row r="8">
      <c r="A8" s="36" t="inlineStr">
        <is>
          <t>PO-26007</t>
        </is>
      </c>
      <c r="B8" s="36" t="inlineStr">
        <is>
          <t>Danubia Chemicals</t>
        </is>
      </c>
      <c r="C8" s="36" t="inlineStr">
        <is>
          <t>Raw Materials</t>
        </is>
      </c>
      <c r="D8" s="39" t="n">
        <v>45937</v>
      </c>
      <c r="E8" s="39" t="n">
        <v>45945</v>
      </c>
      <c r="F8" s="39" t="n">
        <v>45957</v>
      </c>
      <c r="G8" s="39" t="n">
        <v>45956</v>
      </c>
      <c r="H8" s="40" t="n">
        <v>1856</v>
      </c>
      <c r="I8" s="40" t="n">
        <v>1856</v>
      </c>
      <c r="J8" s="40" t="n">
        <v>9</v>
      </c>
      <c r="K8" s="41" t="n">
        <v>33.34</v>
      </c>
      <c r="L8" s="41" t="n">
        <v>33.1</v>
      </c>
      <c r="M8" s="36" t="inlineStr">
        <is>
          <t>N</t>
        </is>
      </c>
      <c r="N8" s="36" t="inlineStr">
        <is>
          <t>N</t>
        </is>
      </c>
      <c r="O8" s="36" t="inlineStr">
        <is>
          <t>N</t>
        </is>
      </c>
      <c r="P8" s="42">
        <f>H8*K8</f>
        <v/>
      </c>
      <c r="Q8" s="42">
        <f>H8*L8</f>
        <v/>
      </c>
      <c r="R8" s="43">
        <f>Q8-P8</f>
        <v/>
      </c>
      <c r="S8" s="44">
        <f>E8-D8</f>
        <v/>
      </c>
      <c r="T8" s="44">
        <f>IF(G8="","",G8-E8)</f>
        <v/>
      </c>
      <c r="U8" s="44">
        <f>IF(G8="","",IF(G8&lt;=F8,1,0))</f>
        <v/>
      </c>
      <c r="V8" s="45">
        <f>DATE(YEAR(E8),MONTH(E8),1)</f>
        <v/>
      </c>
    </row>
    <row r="9">
      <c r="A9" s="36" t="inlineStr">
        <is>
          <t>PO-26008</t>
        </is>
      </c>
      <c r="B9" s="36" t="inlineStr">
        <is>
          <t>Vektor Components</t>
        </is>
      </c>
      <c r="C9" s="36" t="inlineStr">
        <is>
          <t>Raw Materials</t>
        </is>
      </c>
      <c r="D9" s="39" t="n">
        <v>45944</v>
      </c>
      <c r="E9" s="39" t="n">
        <v>45948</v>
      </c>
      <c r="F9" s="39" t="n">
        <v>45963</v>
      </c>
      <c r="G9" s="39" t="n">
        <v>45971</v>
      </c>
      <c r="H9" s="40" t="n">
        <v>1276</v>
      </c>
      <c r="I9" s="40" t="n">
        <v>1276</v>
      </c>
      <c r="J9" s="40" t="n">
        <v>8</v>
      </c>
      <c r="K9" s="41" t="n">
        <v>20.95</v>
      </c>
      <c r="L9" s="41" t="n">
        <v>20.06</v>
      </c>
      <c r="M9" s="36" t="inlineStr">
        <is>
          <t>N</t>
        </is>
      </c>
      <c r="N9" s="36" t="inlineStr">
        <is>
          <t>N</t>
        </is>
      </c>
      <c r="O9" s="36" t="inlineStr">
        <is>
          <t>N</t>
        </is>
      </c>
      <c r="P9" s="42">
        <f>H9*K9</f>
        <v/>
      </c>
      <c r="Q9" s="42">
        <f>H9*L9</f>
        <v/>
      </c>
      <c r="R9" s="43">
        <f>Q9-P9</f>
        <v/>
      </c>
      <c r="S9" s="44">
        <f>E9-D9</f>
        <v/>
      </c>
      <c r="T9" s="44">
        <f>IF(G9="","",G9-E9)</f>
        <v/>
      </c>
      <c r="U9" s="44">
        <f>IF(G9="","",IF(G9&lt;=F9,1,0))</f>
        <v/>
      </c>
      <c r="V9" s="45">
        <f>DATE(YEAR(E9),MONTH(E9),1)</f>
        <v/>
      </c>
    </row>
    <row r="10">
      <c r="A10" s="36" t="inlineStr">
        <is>
          <t>PO-26009</t>
        </is>
      </c>
      <c r="B10" s="36" t="inlineStr">
        <is>
          <t>Vektor Components</t>
        </is>
      </c>
      <c r="C10" s="36" t="inlineStr">
        <is>
          <t>IT</t>
        </is>
      </c>
      <c r="D10" s="39" t="n">
        <v>45949</v>
      </c>
      <c r="E10" s="39" t="n">
        <v>45951</v>
      </c>
      <c r="F10" s="39" t="n">
        <v>45972</v>
      </c>
      <c r="G10" s="39" t="n">
        <v>45976</v>
      </c>
      <c r="H10" s="40" t="n">
        <v>8</v>
      </c>
      <c r="I10" s="40" t="n">
        <v>8</v>
      </c>
      <c r="J10" s="40" t="n">
        <v>0</v>
      </c>
      <c r="K10" s="41" t="n">
        <v>779.86</v>
      </c>
      <c r="L10" s="41" t="n">
        <v>820.03</v>
      </c>
      <c r="M10" s="36" t="inlineStr">
        <is>
          <t>Y</t>
        </is>
      </c>
      <c r="N10" s="36" t="inlineStr">
        <is>
          <t>Y</t>
        </is>
      </c>
      <c r="O10" s="36" t="inlineStr">
        <is>
          <t>N</t>
        </is>
      </c>
      <c r="P10" s="42">
        <f>H10*K10</f>
        <v/>
      </c>
      <c r="Q10" s="42">
        <f>H10*L10</f>
        <v/>
      </c>
      <c r="R10" s="43">
        <f>Q10-P10</f>
        <v/>
      </c>
      <c r="S10" s="44">
        <f>E10-D10</f>
        <v/>
      </c>
      <c r="T10" s="44">
        <f>IF(G10="","",G10-E10)</f>
        <v/>
      </c>
      <c r="U10" s="44">
        <f>IF(G10="","",IF(G10&lt;=F10,1,0))</f>
        <v/>
      </c>
      <c r="V10" s="45">
        <f>DATE(YEAR(E10),MONTH(E10),1)</f>
        <v/>
      </c>
    </row>
    <row r="11">
      <c r="A11" s="36" t="inlineStr">
        <is>
          <t>PO-26010</t>
        </is>
      </c>
      <c r="B11" s="36" t="inlineStr">
        <is>
          <t>Adria Packaging</t>
        </is>
      </c>
      <c r="C11" s="36" t="inlineStr">
        <is>
          <t>Packaging</t>
        </is>
      </c>
      <c r="D11" s="39" t="n">
        <v>45946</v>
      </c>
      <c r="E11" s="39" t="n">
        <v>45953</v>
      </c>
      <c r="F11" s="39" t="n">
        <v>45960</v>
      </c>
      <c r="G11" s="39" t="n">
        <v>45958</v>
      </c>
      <c r="H11" s="40" t="n">
        <v>4939</v>
      </c>
      <c r="I11" s="40" t="n">
        <v>4939</v>
      </c>
      <c r="J11" s="40" t="n">
        <v>3</v>
      </c>
      <c r="K11" s="41" t="n">
        <v>1.8</v>
      </c>
      <c r="L11" s="41" t="n">
        <v>1.87</v>
      </c>
      <c r="M11" s="36" t="inlineStr">
        <is>
          <t>Y</t>
        </is>
      </c>
      <c r="N11" s="36" t="inlineStr">
        <is>
          <t>Y</t>
        </is>
      </c>
      <c r="O11" s="36" t="inlineStr">
        <is>
          <t>N</t>
        </is>
      </c>
      <c r="P11" s="42">
        <f>H11*K11</f>
        <v/>
      </c>
      <c r="Q11" s="42">
        <f>H11*L11</f>
        <v/>
      </c>
      <c r="R11" s="43">
        <f>Q11-P11</f>
        <v/>
      </c>
      <c r="S11" s="44">
        <f>E11-D11</f>
        <v/>
      </c>
      <c r="T11" s="44">
        <f>IF(G11="","",G11-E11)</f>
        <v/>
      </c>
      <c r="U11" s="44">
        <f>IF(G11="","",IF(G11&lt;=F11,1,0))</f>
        <v/>
      </c>
      <c r="V11" s="45">
        <f>DATE(YEAR(E11),MONTH(E11),1)</f>
        <v/>
      </c>
    </row>
    <row r="12">
      <c r="A12" s="36" t="inlineStr">
        <is>
          <t>PO-26011</t>
        </is>
      </c>
      <c r="B12" s="36" t="inlineStr">
        <is>
          <t>Adria Packaging</t>
        </is>
      </c>
      <c r="C12" s="36" t="inlineStr">
        <is>
          <t>Packaging</t>
        </is>
      </c>
      <c r="D12" s="39" t="n">
        <v>45947</v>
      </c>
      <c r="E12" s="39" t="n">
        <v>45955</v>
      </c>
      <c r="F12" s="39" t="n">
        <v>45971</v>
      </c>
      <c r="G12" s="39" t="n">
        <v>45969</v>
      </c>
      <c r="H12" s="40" t="n">
        <v>3480</v>
      </c>
      <c r="I12" s="40" t="n">
        <v>3480</v>
      </c>
      <c r="J12" s="40" t="n">
        <v>3</v>
      </c>
      <c r="K12" s="41" t="n">
        <v>2.62</v>
      </c>
      <c r="L12" s="41" t="n">
        <v>2.79</v>
      </c>
      <c r="M12" s="36" t="inlineStr">
        <is>
          <t>Y</t>
        </is>
      </c>
      <c r="N12" s="36" t="inlineStr">
        <is>
          <t>Y</t>
        </is>
      </c>
      <c r="O12" s="36" t="inlineStr">
        <is>
          <t>N</t>
        </is>
      </c>
      <c r="P12" s="42">
        <f>H12*K12</f>
        <v/>
      </c>
      <c r="Q12" s="42">
        <f>H12*L12</f>
        <v/>
      </c>
      <c r="R12" s="43">
        <f>Q12-P12</f>
        <v/>
      </c>
      <c r="S12" s="44">
        <f>E12-D12</f>
        <v/>
      </c>
      <c r="T12" s="44">
        <f>IF(G12="","",G12-E12)</f>
        <v/>
      </c>
      <c r="U12" s="44">
        <f>IF(G12="","",IF(G12&lt;=F12,1,0))</f>
        <v/>
      </c>
      <c r="V12" s="45">
        <f>DATE(YEAR(E12),MONTH(E12),1)</f>
        <v/>
      </c>
    </row>
    <row r="13">
      <c r="A13" s="36" t="inlineStr">
        <is>
          <t>PO-26012</t>
        </is>
      </c>
      <c r="B13" s="36" t="inlineStr">
        <is>
          <t>Kestrel Office Supply</t>
        </is>
      </c>
      <c r="C13" s="36" t="inlineStr">
        <is>
          <t>IT</t>
        </is>
      </c>
      <c r="D13" s="39" t="n">
        <v>45950</v>
      </c>
      <c r="E13" s="39" t="n">
        <v>45958</v>
      </c>
      <c r="F13" s="39" t="n">
        <v>45970</v>
      </c>
      <c r="G13" s="39" t="n">
        <v>45970</v>
      </c>
      <c r="H13" s="40" t="n">
        <v>3</v>
      </c>
      <c r="I13" s="40" t="n">
        <v>3</v>
      </c>
      <c r="J13" s="40" t="n">
        <v>0</v>
      </c>
      <c r="K13" s="41" t="n">
        <v>324.16</v>
      </c>
      <c r="L13" s="41" t="n">
        <v>328.88</v>
      </c>
      <c r="M13" s="36" t="inlineStr">
        <is>
          <t>Y</t>
        </is>
      </c>
      <c r="N13" s="36" t="inlineStr">
        <is>
          <t>Y</t>
        </is>
      </c>
      <c r="O13" s="36" t="inlineStr">
        <is>
          <t>N</t>
        </is>
      </c>
      <c r="P13" s="42">
        <f>H13*K13</f>
        <v/>
      </c>
      <c r="Q13" s="42">
        <f>H13*L13</f>
        <v/>
      </c>
      <c r="R13" s="43">
        <f>Q13-P13</f>
        <v/>
      </c>
      <c r="S13" s="44">
        <f>E13-D13</f>
        <v/>
      </c>
      <c r="T13" s="44">
        <f>IF(G13="","",G13-E13)</f>
        <v/>
      </c>
      <c r="U13" s="44">
        <f>IF(G13="","",IF(G13&lt;=F13,1,0))</f>
        <v/>
      </c>
      <c r="V13" s="45">
        <f>DATE(YEAR(E13),MONTH(E13),1)</f>
        <v/>
      </c>
    </row>
    <row r="14">
      <c r="A14" s="36" t="inlineStr">
        <is>
          <t>PO-26013</t>
        </is>
      </c>
      <c r="B14" s="36" t="inlineStr">
        <is>
          <t>Vektor Components</t>
        </is>
      </c>
      <c r="C14" s="36" t="inlineStr">
        <is>
          <t>Raw Materials</t>
        </is>
      </c>
      <c r="D14" s="39" t="n">
        <v>45958</v>
      </c>
      <c r="E14" s="39" t="n">
        <v>45960</v>
      </c>
      <c r="F14" s="39" t="n">
        <v>45975</v>
      </c>
      <c r="G14" s="39" t="n">
        <v>45973</v>
      </c>
      <c r="H14" s="40" t="n">
        <v>1188</v>
      </c>
      <c r="I14" s="40" t="n">
        <v>1188</v>
      </c>
      <c r="J14" s="40" t="n">
        <v>10</v>
      </c>
      <c r="K14" s="41" t="n">
        <v>29.28</v>
      </c>
      <c r="L14" s="41" t="n">
        <v>30.54</v>
      </c>
      <c r="M14" s="36" t="inlineStr">
        <is>
          <t>Y</t>
        </is>
      </c>
      <c r="N14" s="36" t="inlineStr">
        <is>
          <t>Y</t>
        </is>
      </c>
      <c r="O14" s="36" t="inlineStr">
        <is>
          <t>N</t>
        </is>
      </c>
      <c r="P14" s="42">
        <f>H14*K14</f>
        <v/>
      </c>
      <c r="Q14" s="42">
        <f>H14*L14</f>
        <v/>
      </c>
      <c r="R14" s="43">
        <f>Q14-P14</f>
        <v/>
      </c>
      <c r="S14" s="44">
        <f>E14-D14</f>
        <v/>
      </c>
      <c r="T14" s="44">
        <f>IF(G14="","",G14-E14)</f>
        <v/>
      </c>
      <c r="U14" s="44">
        <f>IF(G14="","",IF(G14&lt;=F14,1,0))</f>
        <v/>
      </c>
      <c r="V14" s="45">
        <f>DATE(YEAR(E14),MONTH(E14),1)</f>
        <v/>
      </c>
    </row>
    <row r="15">
      <c r="A15" s="36" t="inlineStr">
        <is>
          <t>PO-26014</t>
        </is>
      </c>
      <c r="B15" s="36" t="inlineStr">
        <is>
          <t>Bluewave Logistics</t>
        </is>
      </c>
      <c r="C15" s="36" t="inlineStr">
        <is>
          <t>Logistics</t>
        </is>
      </c>
      <c r="D15" s="39" t="n">
        <v>45955</v>
      </c>
      <c r="E15" s="39" t="n">
        <v>45961</v>
      </c>
      <c r="F15" s="39" t="n">
        <v>45979</v>
      </c>
      <c r="G15" s="39" t="n">
        <v>45979</v>
      </c>
      <c r="H15" s="40" t="n">
        <v>1</v>
      </c>
      <c r="I15" s="40" t="n">
        <v>1</v>
      </c>
      <c r="J15" s="40" t="n">
        <v>0</v>
      </c>
      <c r="K15" s="41" t="n">
        <v>245.59</v>
      </c>
      <c r="L15" s="41" t="n">
        <v>256.29</v>
      </c>
      <c r="M15" s="36" t="inlineStr">
        <is>
          <t>Y</t>
        </is>
      </c>
      <c r="N15" s="36" t="inlineStr">
        <is>
          <t>Y</t>
        </is>
      </c>
      <c r="O15" s="36" t="inlineStr">
        <is>
          <t>N</t>
        </is>
      </c>
      <c r="P15" s="42">
        <f>H15*K15</f>
        <v/>
      </c>
      <c r="Q15" s="42">
        <f>H15*L15</f>
        <v/>
      </c>
      <c r="R15" s="43">
        <f>Q15-P15</f>
        <v/>
      </c>
      <c r="S15" s="44">
        <f>E15-D15</f>
        <v/>
      </c>
      <c r="T15" s="44">
        <f>IF(G15="","",G15-E15)</f>
        <v/>
      </c>
      <c r="U15" s="44">
        <f>IF(G15="","",IF(G15&lt;=F15,1,0))</f>
        <v/>
      </c>
      <c r="V15" s="45">
        <f>DATE(YEAR(E15),MONTH(E15),1)</f>
        <v/>
      </c>
    </row>
    <row r="16">
      <c r="A16" s="36" t="inlineStr">
        <is>
          <t>PO-26015</t>
        </is>
      </c>
      <c r="B16" s="36" t="inlineStr">
        <is>
          <t>Kestrel Office Supply</t>
        </is>
      </c>
      <c r="C16" s="36" t="inlineStr">
        <is>
          <t>IT</t>
        </is>
      </c>
      <c r="D16" s="39" t="n">
        <v>45958</v>
      </c>
      <c r="E16" s="39" t="n">
        <v>45964</v>
      </c>
      <c r="F16" s="39" t="n">
        <v>45974</v>
      </c>
      <c r="G16" s="39" t="n">
        <v>45973</v>
      </c>
      <c r="H16" s="40" t="n">
        <v>16</v>
      </c>
      <c r="I16" s="40" t="n">
        <v>16</v>
      </c>
      <c r="J16" s="40" t="n">
        <v>0</v>
      </c>
      <c r="K16" s="41" t="n">
        <v>302.91</v>
      </c>
      <c r="L16" s="41" t="n">
        <v>310.18</v>
      </c>
      <c r="M16" s="36" t="inlineStr">
        <is>
          <t>Y</t>
        </is>
      </c>
      <c r="N16" s="36" t="inlineStr">
        <is>
          <t>Y</t>
        </is>
      </c>
      <c r="O16" s="36" t="inlineStr">
        <is>
          <t>N</t>
        </is>
      </c>
      <c r="P16" s="42">
        <f>H16*K16</f>
        <v/>
      </c>
      <c r="Q16" s="42">
        <f>H16*L16</f>
        <v/>
      </c>
      <c r="R16" s="43">
        <f>Q16-P16</f>
        <v/>
      </c>
      <c r="S16" s="44">
        <f>E16-D16</f>
        <v/>
      </c>
      <c r="T16" s="44">
        <f>IF(G16="","",G16-E16)</f>
        <v/>
      </c>
      <c r="U16" s="44">
        <f>IF(G16="","",IF(G16&lt;=F16,1,0))</f>
        <v/>
      </c>
      <c r="V16" s="45">
        <f>DATE(YEAR(E16),MONTH(E16),1)</f>
        <v/>
      </c>
    </row>
    <row r="17">
      <c r="A17" s="36" t="inlineStr">
        <is>
          <t>PO-26016</t>
        </is>
      </c>
      <c r="B17" s="36" t="inlineStr">
        <is>
          <t>Vektor Components</t>
        </is>
      </c>
      <c r="C17" s="36" t="inlineStr">
        <is>
          <t>MRO</t>
        </is>
      </c>
      <c r="D17" s="39" t="n">
        <v>45957</v>
      </c>
      <c r="E17" s="39" t="n">
        <v>45965</v>
      </c>
      <c r="F17" s="39" t="n">
        <v>45973</v>
      </c>
      <c r="G17" s="39" t="n">
        <v>45981</v>
      </c>
      <c r="H17" s="40" t="n">
        <v>7</v>
      </c>
      <c r="I17" s="40" t="n">
        <v>7</v>
      </c>
      <c r="J17" s="40" t="n">
        <v>0</v>
      </c>
      <c r="K17" s="41" t="n">
        <v>19.51</v>
      </c>
      <c r="L17" s="41" t="n">
        <v>21.65</v>
      </c>
      <c r="M17" s="36" t="inlineStr">
        <is>
          <t>Y</t>
        </is>
      </c>
      <c r="N17" s="36" t="inlineStr">
        <is>
          <t>Y</t>
        </is>
      </c>
      <c r="O17" s="36" t="inlineStr">
        <is>
          <t>N</t>
        </is>
      </c>
      <c r="P17" s="42">
        <f>H17*K17</f>
        <v/>
      </c>
      <c r="Q17" s="42">
        <f>H17*L17</f>
        <v/>
      </c>
      <c r="R17" s="43">
        <f>Q17-P17</f>
        <v/>
      </c>
      <c r="S17" s="44">
        <f>E17-D17</f>
        <v/>
      </c>
      <c r="T17" s="44">
        <f>IF(G17="","",G17-E17)</f>
        <v/>
      </c>
      <c r="U17" s="44">
        <f>IF(G17="","",IF(G17&lt;=F17,1,0))</f>
        <v/>
      </c>
      <c r="V17" s="45">
        <f>DATE(YEAR(E17),MONTH(E17),1)</f>
        <v/>
      </c>
    </row>
    <row r="18">
      <c r="A18" s="36" t="inlineStr">
        <is>
          <t>PO-26017</t>
        </is>
      </c>
      <c r="B18" s="36" t="inlineStr">
        <is>
          <t>Nordline Industrial</t>
        </is>
      </c>
      <c r="C18" s="36" t="inlineStr">
        <is>
          <t>MRO</t>
        </is>
      </c>
      <c r="D18" s="39" t="n">
        <v>45964</v>
      </c>
      <c r="E18" s="39" t="n">
        <v>45968</v>
      </c>
      <c r="F18" s="39" t="n">
        <v>45988</v>
      </c>
      <c r="G18" s="39" t="n">
        <v>45986</v>
      </c>
      <c r="H18" s="40" t="n">
        <v>46</v>
      </c>
      <c r="I18" s="40" t="n">
        <v>46</v>
      </c>
      <c r="J18" s="40" t="n">
        <v>1</v>
      </c>
      <c r="K18" s="41" t="n">
        <v>52.65</v>
      </c>
      <c r="L18" s="41" t="n">
        <v>55.41</v>
      </c>
      <c r="M18" s="36" t="inlineStr">
        <is>
          <t>Y</t>
        </is>
      </c>
      <c r="N18" s="36" t="inlineStr">
        <is>
          <t>Y</t>
        </is>
      </c>
      <c r="O18" s="36" t="inlineStr">
        <is>
          <t>N</t>
        </is>
      </c>
      <c r="P18" s="42">
        <f>H18*K18</f>
        <v/>
      </c>
      <c r="Q18" s="42">
        <f>H18*L18</f>
        <v/>
      </c>
      <c r="R18" s="43">
        <f>Q18-P18</f>
        <v/>
      </c>
      <c r="S18" s="44">
        <f>E18-D18</f>
        <v/>
      </c>
      <c r="T18" s="44">
        <f>IF(G18="","",G18-E18)</f>
        <v/>
      </c>
      <c r="U18" s="44">
        <f>IF(G18="","",IF(G18&lt;=F18,1,0))</f>
        <v/>
      </c>
      <c r="V18" s="45">
        <f>DATE(YEAR(E18),MONTH(E18),1)</f>
        <v/>
      </c>
    </row>
    <row r="19">
      <c r="A19" s="36" t="inlineStr">
        <is>
          <t>PO-26018</t>
        </is>
      </c>
      <c r="B19" s="36" t="inlineStr">
        <is>
          <t>Vektor Components</t>
        </is>
      </c>
      <c r="C19" s="36" t="inlineStr">
        <is>
          <t>Raw Materials</t>
        </is>
      </c>
      <c r="D19" s="39" t="n">
        <v>45964</v>
      </c>
      <c r="E19" s="39" t="n">
        <v>45969</v>
      </c>
      <c r="F19" s="39" t="n">
        <v>45990</v>
      </c>
      <c r="G19" s="39" t="n">
        <v>45990</v>
      </c>
      <c r="H19" s="40" t="n">
        <v>293</v>
      </c>
      <c r="I19" s="40" t="n">
        <v>293</v>
      </c>
      <c r="J19" s="40" t="n">
        <v>7</v>
      </c>
      <c r="K19" s="41" t="n">
        <v>35.74</v>
      </c>
      <c r="L19" s="41" t="n">
        <v>36.7</v>
      </c>
      <c r="M19" s="36" t="inlineStr">
        <is>
          <t>Y</t>
        </is>
      </c>
      <c r="N19" s="36" t="inlineStr">
        <is>
          <t>Y</t>
        </is>
      </c>
      <c r="O19" s="36" t="inlineStr">
        <is>
          <t>N</t>
        </is>
      </c>
      <c r="P19" s="42">
        <f>H19*K19</f>
        <v/>
      </c>
      <c r="Q19" s="42">
        <f>H19*L19</f>
        <v/>
      </c>
      <c r="R19" s="43">
        <f>Q19-P19</f>
        <v/>
      </c>
      <c r="S19" s="44">
        <f>E19-D19</f>
        <v/>
      </c>
      <c r="T19" s="44">
        <f>IF(G19="","",G19-E19)</f>
        <v/>
      </c>
      <c r="U19" s="44">
        <f>IF(G19="","",IF(G19&lt;=F19,1,0))</f>
        <v/>
      </c>
      <c r="V19" s="45">
        <f>DATE(YEAR(E19),MONTH(E19),1)</f>
        <v/>
      </c>
    </row>
    <row r="20">
      <c r="A20" s="36" t="inlineStr">
        <is>
          <t>PO-26019</t>
        </is>
      </c>
      <c r="B20" s="36" t="inlineStr">
        <is>
          <t>Nordline Industrial</t>
        </is>
      </c>
      <c r="C20" s="36" t="inlineStr">
        <is>
          <t>Raw Materials</t>
        </is>
      </c>
      <c r="D20" s="39" t="n">
        <v>45969</v>
      </c>
      <c r="E20" s="39" t="n">
        <v>45972</v>
      </c>
      <c r="F20" s="39" t="n">
        <v>45977</v>
      </c>
      <c r="G20" s="39" t="n">
        <v>45977</v>
      </c>
      <c r="H20" s="40" t="n">
        <v>1658</v>
      </c>
      <c r="I20" s="40" t="n">
        <v>1658</v>
      </c>
      <c r="J20" s="40" t="n">
        <v>5</v>
      </c>
      <c r="K20" s="41" t="n">
        <v>30.9</v>
      </c>
      <c r="L20" s="41" t="n">
        <v>31.67</v>
      </c>
      <c r="M20" s="36" t="inlineStr">
        <is>
          <t>Y</t>
        </is>
      </c>
      <c r="N20" s="36" t="inlineStr">
        <is>
          <t>Y</t>
        </is>
      </c>
      <c r="O20" s="36" t="inlineStr">
        <is>
          <t>N</t>
        </is>
      </c>
      <c r="P20" s="42">
        <f>H20*K20</f>
        <v/>
      </c>
      <c r="Q20" s="42">
        <f>H20*L20</f>
        <v/>
      </c>
      <c r="R20" s="43">
        <f>Q20-P20</f>
        <v/>
      </c>
      <c r="S20" s="44">
        <f>E20-D20</f>
        <v/>
      </c>
      <c r="T20" s="44">
        <f>IF(G20="","",G20-E20)</f>
        <v/>
      </c>
      <c r="U20" s="44">
        <f>IF(G20="","",IF(G20&lt;=F20,1,0))</f>
        <v/>
      </c>
      <c r="V20" s="45">
        <f>DATE(YEAR(E20),MONTH(E20),1)</f>
        <v/>
      </c>
    </row>
    <row r="21">
      <c r="A21" s="36" t="inlineStr">
        <is>
          <t>PO-26020</t>
        </is>
      </c>
      <c r="B21" s="36" t="inlineStr">
        <is>
          <t>Adria Packaging</t>
        </is>
      </c>
      <c r="C21" s="36" t="inlineStr">
        <is>
          <t>Packaging</t>
        </is>
      </c>
      <c r="D21" s="39" t="n">
        <v>45973</v>
      </c>
      <c r="E21" s="39" t="n">
        <v>45975</v>
      </c>
      <c r="F21" s="39" t="n">
        <v>45994</v>
      </c>
      <c r="G21" s="39" t="n">
        <v>45993</v>
      </c>
      <c r="H21" s="40" t="n">
        <v>6914</v>
      </c>
      <c r="I21" s="40" t="n">
        <v>6914</v>
      </c>
      <c r="J21" s="40" t="n">
        <v>3</v>
      </c>
      <c r="K21" s="41" t="n">
        <v>1.3</v>
      </c>
      <c r="L21" s="41" t="n">
        <v>1.34</v>
      </c>
      <c r="M21" s="36" t="inlineStr">
        <is>
          <t>Y</t>
        </is>
      </c>
      <c r="N21" s="36" t="inlineStr">
        <is>
          <t>Y</t>
        </is>
      </c>
      <c r="O21" s="36" t="inlineStr">
        <is>
          <t>N</t>
        </is>
      </c>
      <c r="P21" s="42">
        <f>H21*K21</f>
        <v/>
      </c>
      <c r="Q21" s="42">
        <f>H21*L21</f>
        <v/>
      </c>
      <c r="R21" s="43">
        <f>Q21-P21</f>
        <v/>
      </c>
      <c r="S21" s="44">
        <f>E21-D21</f>
        <v/>
      </c>
      <c r="T21" s="44">
        <f>IF(G21="","",G21-E21)</f>
        <v/>
      </c>
      <c r="U21" s="44">
        <f>IF(G21="","",IF(G21&lt;=F21,1,0))</f>
        <v/>
      </c>
      <c r="V21" s="45">
        <f>DATE(YEAR(E21),MONTH(E21),1)</f>
        <v/>
      </c>
    </row>
    <row r="22">
      <c r="A22" s="36" t="inlineStr">
        <is>
          <t>PO-26021</t>
        </is>
      </c>
      <c r="B22" s="36" t="inlineStr">
        <is>
          <t>Bluewave Logistics</t>
        </is>
      </c>
      <c r="C22" s="36" t="inlineStr">
        <is>
          <t>Logistics</t>
        </is>
      </c>
      <c r="D22" s="39" t="n">
        <v>45976</v>
      </c>
      <c r="E22" s="39" t="n">
        <v>45977</v>
      </c>
      <c r="F22" s="39" t="n">
        <v>45994</v>
      </c>
      <c r="G22" s="39" t="n">
        <v>45993</v>
      </c>
      <c r="H22" s="40" t="n">
        <v>4</v>
      </c>
      <c r="I22" s="40" t="n">
        <v>4</v>
      </c>
      <c r="J22" s="40" t="n">
        <v>0</v>
      </c>
      <c r="K22" s="41" t="n">
        <v>686.83</v>
      </c>
      <c r="L22" s="41" t="n">
        <v>752.99</v>
      </c>
      <c r="M22" s="36" t="inlineStr">
        <is>
          <t>Y</t>
        </is>
      </c>
      <c r="N22" s="36" t="inlineStr">
        <is>
          <t>Y</t>
        </is>
      </c>
      <c r="O22" s="36" t="inlineStr">
        <is>
          <t>N</t>
        </is>
      </c>
      <c r="P22" s="42">
        <f>H22*K22</f>
        <v/>
      </c>
      <c r="Q22" s="42">
        <f>H22*L22</f>
        <v/>
      </c>
      <c r="R22" s="43">
        <f>Q22-P22</f>
        <v/>
      </c>
      <c r="S22" s="44">
        <f>E22-D22</f>
        <v/>
      </c>
      <c r="T22" s="44">
        <f>IF(G22="","",G22-E22)</f>
        <v/>
      </c>
      <c r="U22" s="44">
        <f>IF(G22="","",IF(G22&lt;=F22,1,0))</f>
        <v/>
      </c>
      <c r="V22" s="45">
        <f>DATE(YEAR(E22),MONTH(E22),1)</f>
        <v/>
      </c>
    </row>
    <row r="23">
      <c r="A23" s="36" t="inlineStr">
        <is>
          <t>PO-26022</t>
        </is>
      </c>
      <c r="B23" s="36" t="inlineStr">
        <is>
          <t>Nordline Industrial</t>
        </is>
      </c>
      <c r="C23" s="36" t="inlineStr">
        <is>
          <t>MRO</t>
        </is>
      </c>
      <c r="D23" s="39" t="n">
        <v>45977</v>
      </c>
      <c r="E23" s="39" t="n">
        <v>45978</v>
      </c>
      <c r="F23" s="39" t="n">
        <v>45982</v>
      </c>
      <c r="G23" s="39" t="n">
        <v>45980</v>
      </c>
      <c r="H23" s="40" t="n">
        <v>10</v>
      </c>
      <c r="I23" s="40" t="n">
        <v>10</v>
      </c>
      <c r="J23" s="40" t="n">
        <v>0</v>
      </c>
      <c r="K23" s="41" t="n">
        <v>25.02</v>
      </c>
      <c r="L23" s="41" t="n">
        <v>26.82</v>
      </c>
      <c r="M23" s="36" t="inlineStr">
        <is>
          <t>Y</t>
        </is>
      </c>
      <c r="N23" s="36" t="inlineStr">
        <is>
          <t>Y</t>
        </is>
      </c>
      <c r="O23" s="36" t="inlineStr">
        <is>
          <t>Y</t>
        </is>
      </c>
      <c r="P23" s="42">
        <f>H23*K23</f>
        <v/>
      </c>
      <c r="Q23" s="42">
        <f>H23*L23</f>
        <v/>
      </c>
      <c r="R23" s="43">
        <f>Q23-P23</f>
        <v/>
      </c>
      <c r="S23" s="44">
        <f>E23-D23</f>
        <v/>
      </c>
      <c r="T23" s="44">
        <f>IF(G23="","",G23-E23)</f>
        <v/>
      </c>
      <c r="U23" s="44">
        <f>IF(G23="","",IF(G23&lt;=F23,1,0))</f>
        <v/>
      </c>
      <c r="V23" s="45">
        <f>DATE(YEAR(E23),MONTH(E23),1)</f>
        <v/>
      </c>
    </row>
    <row r="24">
      <c r="A24" s="36" t="inlineStr">
        <is>
          <t>PO-26023</t>
        </is>
      </c>
      <c r="B24" s="36" t="inlineStr">
        <is>
          <t>Bluewave Logistics</t>
        </is>
      </c>
      <c r="C24" s="36" t="inlineStr">
        <is>
          <t>Logistics</t>
        </is>
      </c>
      <c r="D24" s="39" t="n">
        <v>45981</v>
      </c>
      <c r="E24" s="39" t="n">
        <v>45983</v>
      </c>
      <c r="F24" s="39" t="n">
        <v>45991</v>
      </c>
      <c r="G24" s="39" t="n">
        <v>45991</v>
      </c>
      <c r="H24" s="40" t="n">
        <v>2</v>
      </c>
      <c r="I24" s="40" t="n">
        <v>2</v>
      </c>
      <c r="J24" s="40" t="n">
        <v>0</v>
      </c>
      <c r="K24" s="41" t="n">
        <v>734.23</v>
      </c>
      <c r="L24" s="41" t="n">
        <v>814.6900000000001</v>
      </c>
      <c r="M24" s="36" t="inlineStr">
        <is>
          <t>Y</t>
        </is>
      </c>
      <c r="N24" s="36" t="inlineStr">
        <is>
          <t>Y</t>
        </is>
      </c>
      <c r="O24" s="36" t="inlineStr">
        <is>
          <t>N</t>
        </is>
      </c>
      <c r="P24" s="42">
        <f>H24*K24</f>
        <v/>
      </c>
      <c r="Q24" s="42">
        <f>H24*L24</f>
        <v/>
      </c>
      <c r="R24" s="43">
        <f>Q24-P24</f>
        <v/>
      </c>
      <c r="S24" s="44">
        <f>E24-D24</f>
        <v/>
      </c>
      <c r="T24" s="44">
        <f>IF(G24="","",G24-E24)</f>
        <v/>
      </c>
      <c r="U24" s="44">
        <f>IF(G24="","",IF(G24&lt;=F24,1,0))</f>
        <v/>
      </c>
      <c r="V24" s="45">
        <f>DATE(YEAR(E24),MONTH(E24),1)</f>
        <v/>
      </c>
    </row>
    <row r="25">
      <c r="A25" s="36" t="inlineStr">
        <is>
          <t>PO-26024</t>
        </is>
      </c>
      <c r="B25" s="36" t="inlineStr">
        <is>
          <t>Kestrel Office Supply</t>
        </is>
      </c>
      <c r="C25" s="36" t="inlineStr">
        <is>
          <t>IT</t>
        </is>
      </c>
      <c r="D25" s="39" t="n">
        <v>45974</v>
      </c>
      <c r="E25" s="39" t="n">
        <v>45983</v>
      </c>
      <c r="F25" s="39" t="n">
        <v>45994</v>
      </c>
      <c r="G25" s="39" t="n">
        <v>45992</v>
      </c>
      <c r="H25" s="40" t="n">
        <v>10</v>
      </c>
      <c r="I25" s="40" t="n">
        <v>10</v>
      </c>
      <c r="J25" s="40" t="n">
        <v>0</v>
      </c>
      <c r="K25" s="41" t="n">
        <v>528.8099999999999</v>
      </c>
      <c r="L25" s="41" t="n">
        <v>534.53</v>
      </c>
      <c r="M25" s="36" t="inlineStr">
        <is>
          <t>Y</t>
        </is>
      </c>
      <c r="N25" s="36" t="inlineStr">
        <is>
          <t>Y</t>
        </is>
      </c>
      <c r="O25" s="36" t="inlineStr">
        <is>
          <t>N</t>
        </is>
      </c>
      <c r="P25" s="42">
        <f>H25*K25</f>
        <v/>
      </c>
      <c r="Q25" s="42">
        <f>H25*L25</f>
        <v/>
      </c>
      <c r="R25" s="43">
        <f>Q25-P25</f>
        <v/>
      </c>
      <c r="S25" s="44">
        <f>E25-D25</f>
        <v/>
      </c>
      <c r="T25" s="44">
        <f>IF(G25="","",G25-E25)</f>
        <v/>
      </c>
      <c r="U25" s="44">
        <f>IF(G25="","",IF(G25&lt;=F25,1,0))</f>
        <v/>
      </c>
      <c r="V25" s="45">
        <f>DATE(YEAR(E25),MONTH(E25),1)</f>
        <v/>
      </c>
    </row>
    <row r="26">
      <c r="A26" s="36" t="inlineStr">
        <is>
          <t>PO-26025</t>
        </is>
      </c>
      <c r="B26" s="36" t="inlineStr">
        <is>
          <t>Kestrel Office Supply</t>
        </is>
      </c>
      <c r="C26" s="36" t="inlineStr">
        <is>
          <t>Office</t>
        </is>
      </c>
      <c r="D26" s="39" t="n">
        <v>45980</v>
      </c>
      <c r="E26" s="39" t="n">
        <v>45985</v>
      </c>
      <c r="F26" s="39" t="n">
        <v>46001</v>
      </c>
      <c r="G26" s="39" t="n">
        <v>46001</v>
      </c>
      <c r="H26" s="40" t="n">
        <v>84</v>
      </c>
      <c r="I26" s="40" t="n">
        <v>84</v>
      </c>
      <c r="J26" s="40" t="n">
        <v>0</v>
      </c>
      <c r="K26" s="41" t="n">
        <v>20.33</v>
      </c>
      <c r="L26" s="41" t="n">
        <v>22.08</v>
      </c>
      <c r="M26" s="36" t="inlineStr">
        <is>
          <t>Y</t>
        </is>
      </c>
      <c r="N26" s="36" t="inlineStr">
        <is>
          <t>Y</t>
        </is>
      </c>
      <c r="O26" s="36" t="inlineStr">
        <is>
          <t>N</t>
        </is>
      </c>
      <c r="P26" s="42">
        <f>H26*K26</f>
        <v/>
      </c>
      <c r="Q26" s="42">
        <f>H26*L26</f>
        <v/>
      </c>
      <c r="R26" s="43">
        <f>Q26-P26</f>
        <v/>
      </c>
      <c r="S26" s="44">
        <f>E26-D26</f>
        <v/>
      </c>
      <c r="T26" s="44">
        <f>IF(G26="","",G26-E26)</f>
        <v/>
      </c>
      <c r="U26" s="44">
        <f>IF(G26="","",IF(G26&lt;=F26,1,0))</f>
        <v/>
      </c>
      <c r="V26" s="45">
        <f>DATE(YEAR(E26),MONTH(E26),1)</f>
        <v/>
      </c>
    </row>
    <row r="27">
      <c r="A27" s="36" t="inlineStr">
        <is>
          <t>PO-26026</t>
        </is>
      </c>
      <c r="B27" s="36" t="inlineStr">
        <is>
          <t>Vektor Components</t>
        </is>
      </c>
      <c r="C27" s="36" t="inlineStr">
        <is>
          <t>Raw Materials</t>
        </is>
      </c>
      <c r="D27" s="39" t="n">
        <v>45987</v>
      </c>
      <c r="E27" s="39" t="n">
        <v>45988</v>
      </c>
      <c r="F27" s="39" t="n">
        <v>45991</v>
      </c>
      <c r="G27" s="39" t="n">
        <v>45989</v>
      </c>
      <c r="H27" s="40" t="n">
        <v>1160</v>
      </c>
      <c r="I27" s="40" t="n">
        <v>1160</v>
      </c>
      <c r="J27" s="40" t="n">
        <v>10</v>
      </c>
      <c r="K27" s="41" t="n">
        <v>30.06</v>
      </c>
      <c r="L27" s="41" t="n">
        <v>30.78</v>
      </c>
      <c r="M27" s="36" t="inlineStr">
        <is>
          <t>Y</t>
        </is>
      </c>
      <c r="N27" s="36" t="inlineStr">
        <is>
          <t>Y</t>
        </is>
      </c>
      <c r="O27" s="36" t="inlineStr">
        <is>
          <t>Y</t>
        </is>
      </c>
      <c r="P27" s="42">
        <f>H27*K27</f>
        <v/>
      </c>
      <c r="Q27" s="42">
        <f>H27*L27</f>
        <v/>
      </c>
      <c r="R27" s="43">
        <f>Q27-P27</f>
        <v/>
      </c>
      <c r="S27" s="44">
        <f>E27-D27</f>
        <v/>
      </c>
      <c r="T27" s="44">
        <f>IF(G27="","",G27-E27)</f>
        <v/>
      </c>
      <c r="U27" s="44">
        <f>IF(G27="","",IF(G27&lt;=F27,1,0))</f>
        <v/>
      </c>
      <c r="V27" s="45">
        <f>DATE(YEAR(E27),MONTH(E27),1)</f>
        <v/>
      </c>
    </row>
    <row r="28">
      <c r="A28" s="36" t="inlineStr">
        <is>
          <t>PO-26027</t>
        </is>
      </c>
      <c r="B28" s="36" t="inlineStr">
        <is>
          <t>Nordline Industrial</t>
        </is>
      </c>
      <c r="C28" s="36" t="inlineStr">
        <is>
          <t>Raw Materials</t>
        </is>
      </c>
      <c r="D28" s="39" t="n">
        <v>45984</v>
      </c>
      <c r="E28" s="39" t="n">
        <v>45990</v>
      </c>
      <c r="F28" s="39" t="n">
        <v>46004</v>
      </c>
      <c r="G28" s="39" t="n">
        <v>46002</v>
      </c>
      <c r="H28" s="40" t="n">
        <v>823</v>
      </c>
      <c r="I28" s="40" t="n">
        <v>823</v>
      </c>
      <c r="J28" s="40" t="n">
        <v>10</v>
      </c>
      <c r="K28" s="41" t="n">
        <v>40.4</v>
      </c>
      <c r="L28" s="41" t="n">
        <v>37.39</v>
      </c>
      <c r="M28" s="36" t="inlineStr">
        <is>
          <t>N</t>
        </is>
      </c>
      <c r="N28" s="36" t="inlineStr">
        <is>
          <t>N</t>
        </is>
      </c>
      <c r="O28" s="36" t="inlineStr">
        <is>
          <t>N</t>
        </is>
      </c>
      <c r="P28" s="42">
        <f>H28*K28</f>
        <v/>
      </c>
      <c r="Q28" s="42">
        <f>H28*L28</f>
        <v/>
      </c>
      <c r="R28" s="43">
        <f>Q28-P28</f>
        <v/>
      </c>
      <c r="S28" s="44">
        <f>E28-D28</f>
        <v/>
      </c>
      <c r="T28" s="44">
        <f>IF(G28="","",G28-E28)</f>
        <v/>
      </c>
      <c r="U28" s="44">
        <f>IF(G28="","",IF(G28&lt;=F28,1,0))</f>
        <v/>
      </c>
      <c r="V28" s="45">
        <f>DATE(YEAR(E28),MONTH(E28),1)</f>
        <v/>
      </c>
    </row>
    <row r="29">
      <c r="A29" s="36" t="inlineStr">
        <is>
          <t>PO-26028</t>
        </is>
      </c>
      <c r="B29" s="36" t="inlineStr">
        <is>
          <t>Adria Packaging</t>
        </is>
      </c>
      <c r="C29" s="36" t="inlineStr">
        <is>
          <t>Packaging</t>
        </is>
      </c>
      <c r="D29" s="39" t="n">
        <v>45988</v>
      </c>
      <c r="E29" s="39" t="n">
        <v>45993</v>
      </c>
      <c r="F29" s="39" t="n">
        <v>46008</v>
      </c>
      <c r="G29" s="39" t="n">
        <v>46007</v>
      </c>
      <c r="H29" s="40" t="n">
        <v>1709</v>
      </c>
      <c r="I29" s="40" t="n">
        <v>1709</v>
      </c>
      <c r="J29" s="40" t="n">
        <v>2</v>
      </c>
      <c r="K29" s="41" t="n">
        <v>0.64</v>
      </c>
      <c r="L29" s="41" t="n">
        <v>0.67</v>
      </c>
      <c r="M29" s="36" t="inlineStr">
        <is>
          <t>Y</t>
        </is>
      </c>
      <c r="N29" s="36" t="inlineStr">
        <is>
          <t>Y</t>
        </is>
      </c>
      <c r="O29" s="36" t="inlineStr">
        <is>
          <t>N</t>
        </is>
      </c>
      <c r="P29" s="42">
        <f>H29*K29</f>
        <v/>
      </c>
      <c r="Q29" s="42">
        <f>H29*L29</f>
        <v/>
      </c>
      <c r="R29" s="43">
        <f>Q29-P29</f>
        <v/>
      </c>
      <c r="S29" s="44">
        <f>E29-D29</f>
        <v/>
      </c>
      <c r="T29" s="44">
        <f>IF(G29="","",G29-E29)</f>
        <v/>
      </c>
      <c r="U29" s="44">
        <f>IF(G29="","",IF(G29&lt;=F29,1,0))</f>
        <v/>
      </c>
      <c r="V29" s="45">
        <f>DATE(YEAR(E29),MONTH(E29),1)</f>
        <v/>
      </c>
    </row>
    <row r="30">
      <c r="A30" s="36" t="inlineStr">
        <is>
          <t>PO-26029</t>
        </is>
      </c>
      <c r="B30" s="36" t="inlineStr">
        <is>
          <t>Adria Packaging</t>
        </is>
      </c>
      <c r="C30" s="36" t="inlineStr">
        <is>
          <t>Packaging</t>
        </is>
      </c>
      <c r="D30" s="39" t="n">
        <v>45991</v>
      </c>
      <c r="E30" s="39" t="n">
        <v>45994</v>
      </c>
      <c r="F30" s="39" t="n">
        <v>46006</v>
      </c>
      <c r="G30" s="39" t="n">
        <v>46006</v>
      </c>
      <c r="H30" s="40" t="n">
        <v>3133</v>
      </c>
      <c r="I30" s="40" t="n">
        <v>3133</v>
      </c>
      <c r="J30" s="40" t="n">
        <v>3</v>
      </c>
      <c r="K30" s="41" t="n">
        <v>2.86</v>
      </c>
      <c r="L30" s="41" t="n">
        <v>2.95</v>
      </c>
      <c r="M30" s="36" t="inlineStr">
        <is>
          <t>Y</t>
        </is>
      </c>
      <c r="N30" s="36" t="inlineStr">
        <is>
          <t>Y</t>
        </is>
      </c>
      <c r="O30" s="36" t="inlineStr">
        <is>
          <t>N</t>
        </is>
      </c>
      <c r="P30" s="42">
        <f>H30*K30</f>
        <v/>
      </c>
      <c r="Q30" s="42">
        <f>H30*L30</f>
        <v/>
      </c>
      <c r="R30" s="43">
        <f>Q30-P30</f>
        <v/>
      </c>
      <c r="S30" s="44">
        <f>E30-D30</f>
        <v/>
      </c>
      <c r="T30" s="44">
        <f>IF(G30="","",G30-E30)</f>
        <v/>
      </c>
      <c r="U30" s="44">
        <f>IF(G30="","",IF(G30&lt;=F30,1,0))</f>
        <v/>
      </c>
      <c r="V30" s="45">
        <f>DATE(YEAR(E30),MONTH(E30),1)</f>
        <v/>
      </c>
    </row>
    <row r="31">
      <c r="A31" s="36" t="inlineStr">
        <is>
          <t>PO-26030</t>
        </is>
      </c>
      <c r="B31" s="36" t="inlineStr">
        <is>
          <t>Adria Packaging</t>
        </is>
      </c>
      <c r="C31" s="36" t="inlineStr">
        <is>
          <t>Packaging</t>
        </is>
      </c>
      <c r="D31" s="39" t="n">
        <v>45993</v>
      </c>
      <c r="E31" s="39" t="n">
        <v>45996</v>
      </c>
      <c r="F31" s="39" t="n">
        <v>46014</v>
      </c>
      <c r="G31" s="39" t="n">
        <v>46013</v>
      </c>
      <c r="H31" s="40" t="n">
        <v>8397</v>
      </c>
      <c r="I31" s="40" t="n">
        <v>8397</v>
      </c>
      <c r="J31" s="40" t="n">
        <v>3</v>
      </c>
      <c r="K31" s="41" t="n">
        <v>1.51</v>
      </c>
      <c r="L31" s="41" t="n">
        <v>1.64</v>
      </c>
      <c r="M31" s="36" t="inlineStr">
        <is>
          <t>Y</t>
        </is>
      </c>
      <c r="N31" s="36" t="inlineStr">
        <is>
          <t>Y</t>
        </is>
      </c>
      <c r="O31" s="36" t="inlineStr">
        <is>
          <t>N</t>
        </is>
      </c>
      <c r="P31" s="42">
        <f>H31*K31</f>
        <v/>
      </c>
      <c r="Q31" s="42">
        <f>H31*L31</f>
        <v/>
      </c>
      <c r="R31" s="43">
        <f>Q31-P31</f>
        <v/>
      </c>
      <c r="S31" s="44">
        <f>E31-D31</f>
        <v/>
      </c>
      <c r="T31" s="44">
        <f>IF(G31="","",G31-E31)</f>
        <v/>
      </c>
      <c r="U31" s="44">
        <f>IF(G31="","",IF(G31&lt;=F31,1,0))</f>
        <v/>
      </c>
      <c r="V31" s="45">
        <f>DATE(YEAR(E31),MONTH(E31),1)</f>
        <v/>
      </c>
    </row>
    <row r="32">
      <c r="A32" s="36" t="inlineStr">
        <is>
          <t>PO-26031</t>
        </is>
      </c>
      <c r="B32" s="36" t="inlineStr">
        <is>
          <t>Adria Packaging</t>
        </is>
      </c>
      <c r="C32" s="36" t="inlineStr">
        <is>
          <t>Packaging</t>
        </is>
      </c>
      <c r="D32" s="39" t="n">
        <v>45997</v>
      </c>
      <c r="E32" s="39" t="n">
        <v>46001</v>
      </c>
      <c r="F32" s="39" t="n">
        <v>46017</v>
      </c>
      <c r="G32" s="39" t="n">
        <v>46016</v>
      </c>
      <c r="H32" s="40" t="n">
        <v>8233</v>
      </c>
      <c r="I32" s="40" t="n">
        <v>8233</v>
      </c>
      <c r="J32" s="40" t="n">
        <v>7</v>
      </c>
      <c r="K32" s="41" t="n">
        <v>2.33</v>
      </c>
      <c r="L32" s="41" t="n">
        <v>2.38</v>
      </c>
      <c r="M32" s="36" t="inlineStr">
        <is>
          <t>Y</t>
        </is>
      </c>
      <c r="N32" s="36" t="inlineStr">
        <is>
          <t>Y</t>
        </is>
      </c>
      <c r="O32" s="36" t="inlineStr">
        <is>
          <t>N</t>
        </is>
      </c>
      <c r="P32" s="42">
        <f>H32*K32</f>
        <v/>
      </c>
      <c r="Q32" s="42">
        <f>H32*L32</f>
        <v/>
      </c>
      <c r="R32" s="43">
        <f>Q32-P32</f>
        <v/>
      </c>
      <c r="S32" s="44">
        <f>E32-D32</f>
        <v/>
      </c>
      <c r="T32" s="44">
        <f>IF(G32="","",G32-E32)</f>
        <v/>
      </c>
      <c r="U32" s="44">
        <f>IF(G32="","",IF(G32&lt;=F32,1,0))</f>
        <v/>
      </c>
      <c r="V32" s="45">
        <f>DATE(YEAR(E32),MONTH(E32),1)</f>
        <v/>
      </c>
    </row>
    <row r="33">
      <c r="A33" s="36" t="inlineStr">
        <is>
          <t>PO-26032</t>
        </is>
      </c>
      <c r="B33" s="36" t="inlineStr">
        <is>
          <t>Adria Packaging</t>
        </is>
      </c>
      <c r="C33" s="36" t="inlineStr">
        <is>
          <t>Packaging</t>
        </is>
      </c>
      <c r="D33" s="39" t="n">
        <v>46002</v>
      </c>
      <c r="E33" s="39" t="n">
        <v>46003</v>
      </c>
      <c r="F33" s="39" t="n">
        <v>46018</v>
      </c>
      <c r="G33" s="39" t="n">
        <v>46017</v>
      </c>
      <c r="H33" s="40" t="n">
        <v>5489</v>
      </c>
      <c r="I33" s="40" t="n">
        <v>5489</v>
      </c>
      <c r="J33" s="40" t="n">
        <v>2</v>
      </c>
      <c r="K33" s="41" t="n">
        <v>0.68</v>
      </c>
      <c r="L33" s="41" t="n">
        <v>0.72</v>
      </c>
      <c r="M33" s="36" t="inlineStr">
        <is>
          <t>Y</t>
        </is>
      </c>
      <c r="N33" s="36" t="inlineStr">
        <is>
          <t>Y</t>
        </is>
      </c>
      <c r="O33" s="36" t="inlineStr">
        <is>
          <t>N</t>
        </is>
      </c>
      <c r="P33" s="42">
        <f>H33*K33</f>
        <v/>
      </c>
      <c r="Q33" s="42">
        <f>H33*L33</f>
        <v/>
      </c>
      <c r="R33" s="43">
        <f>Q33-P33</f>
        <v/>
      </c>
      <c r="S33" s="44">
        <f>E33-D33</f>
        <v/>
      </c>
      <c r="T33" s="44">
        <f>IF(G33="","",G33-E33)</f>
        <v/>
      </c>
      <c r="U33" s="44">
        <f>IF(G33="","",IF(G33&lt;=F33,1,0))</f>
        <v/>
      </c>
      <c r="V33" s="45">
        <f>DATE(YEAR(E33),MONTH(E33),1)</f>
        <v/>
      </c>
    </row>
    <row r="34">
      <c r="A34" s="36" t="inlineStr">
        <is>
          <t>PO-26033</t>
        </is>
      </c>
      <c r="B34" s="36" t="inlineStr">
        <is>
          <t>Adria Packaging</t>
        </is>
      </c>
      <c r="C34" s="36" t="inlineStr">
        <is>
          <t>Packaging</t>
        </is>
      </c>
      <c r="D34" s="39" t="n">
        <v>45994</v>
      </c>
      <c r="E34" s="39" t="n">
        <v>46003</v>
      </c>
      <c r="F34" s="39" t="n">
        <v>46018</v>
      </c>
      <c r="G34" s="39" t="n">
        <v>46018</v>
      </c>
      <c r="H34" s="40" t="n">
        <v>5141</v>
      </c>
      <c r="I34" s="40" t="n">
        <v>5141</v>
      </c>
      <c r="J34" s="40" t="n">
        <v>5</v>
      </c>
      <c r="K34" s="41" t="n">
        <v>0.85</v>
      </c>
      <c r="L34" s="41" t="n">
        <v>0.9399999999999999</v>
      </c>
      <c r="M34" s="36" t="inlineStr">
        <is>
          <t>Y</t>
        </is>
      </c>
      <c r="N34" s="36" t="inlineStr">
        <is>
          <t>Y</t>
        </is>
      </c>
      <c r="O34" s="36" t="inlineStr">
        <is>
          <t>N</t>
        </is>
      </c>
      <c r="P34" s="42">
        <f>H34*K34</f>
        <v/>
      </c>
      <c r="Q34" s="42">
        <f>H34*L34</f>
        <v/>
      </c>
      <c r="R34" s="43">
        <f>Q34-P34</f>
        <v/>
      </c>
      <c r="S34" s="44">
        <f>E34-D34</f>
        <v/>
      </c>
      <c r="T34" s="44">
        <f>IF(G34="","",G34-E34)</f>
        <v/>
      </c>
      <c r="U34" s="44">
        <f>IF(G34="","",IF(G34&lt;=F34,1,0))</f>
        <v/>
      </c>
      <c r="V34" s="45">
        <f>DATE(YEAR(E34),MONTH(E34),1)</f>
        <v/>
      </c>
    </row>
    <row r="35">
      <c r="A35" s="36" t="inlineStr">
        <is>
          <t>PO-26034</t>
        </is>
      </c>
      <c r="B35" s="36" t="inlineStr">
        <is>
          <t>Vektor Components</t>
        </is>
      </c>
      <c r="C35" s="36" t="inlineStr">
        <is>
          <t>IT</t>
        </is>
      </c>
      <c r="D35" s="39" t="n">
        <v>46006</v>
      </c>
      <c r="E35" s="39" t="n">
        <v>46008</v>
      </c>
      <c r="F35" s="39" t="n">
        <v>46017</v>
      </c>
      <c r="G35" s="39" t="n">
        <v>46025</v>
      </c>
      <c r="H35" s="40" t="n">
        <v>4</v>
      </c>
      <c r="I35" s="40" t="n">
        <v>4</v>
      </c>
      <c r="J35" s="40" t="n">
        <v>0</v>
      </c>
      <c r="K35" s="41" t="n">
        <v>675.74</v>
      </c>
      <c r="L35" s="41" t="n">
        <v>734.39</v>
      </c>
      <c r="M35" s="36" t="inlineStr">
        <is>
          <t>Y</t>
        </is>
      </c>
      <c r="N35" s="36" t="inlineStr">
        <is>
          <t>Y</t>
        </is>
      </c>
      <c r="O35" s="36" t="inlineStr">
        <is>
          <t>N</t>
        </is>
      </c>
      <c r="P35" s="42">
        <f>H35*K35</f>
        <v/>
      </c>
      <c r="Q35" s="42">
        <f>H35*L35</f>
        <v/>
      </c>
      <c r="R35" s="43">
        <f>Q35-P35</f>
        <v/>
      </c>
      <c r="S35" s="44">
        <f>E35-D35</f>
        <v/>
      </c>
      <c r="T35" s="44">
        <f>IF(G35="","",G35-E35)</f>
        <v/>
      </c>
      <c r="U35" s="44">
        <f>IF(G35="","",IF(G35&lt;=F35,1,0))</f>
        <v/>
      </c>
      <c r="V35" s="45">
        <f>DATE(YEAR(E35),MONTH(E35),1)</f>
        <v/>
      </c>
    </row>
    <row r="36">
      <c r="A36" s="36" t="inlineStr">
        <is>
          <t>PO-26035</t>
        </is>
      </c>
      <c r="B36" s="36" t="inlineStr">
        <is>
          <t>Vektor Components</t>
        </is>
      </c>
      <c r="C36" s="36" t="inlineStr">
        <is>
          <t>MRO</t>
        </is>
      </c>
      <c r="D36" s="39" t="n">
        <v>46001</v>
      </c>
      <c r="E36" s="39" t="n">
        <v>46010</v>
      </c>
      <c r="F36" s="39" t="n">
        <v>46028</v>
      </c>
      <c r="G36" s="39" t="n">
        <v>46028</v>
      </c>
      <c r="H36" s="40" t="n">
        <v>21</v>
      </c>
      <c r="I36" s="40" t="n">
        <v>21</v>
      </c>
      <c r="J36" s="40" t="n">
        <v>1</v>
      </c>
      <c r="K36" s="41" t="n">
        <v>24.65</v>
      </c>
      <c r="L36" s="41" t="n">
        <v>27.15</v>
      </c>
      <c r="M36" s="36" t="inlineStr">
        <is>
          <t>Y</t>
        </is>
      </c>
      <c r="N36" s="36" t="inlineStr">
        <is>
          <t>Y</t>
        </is>
      </c>
      <c r="O36" s="36" t="inlineStr">
        <is>
          <t>N</t>
        </is>
      </c>
      <c r="P36" s="42">
        <f>H36*K36</f>
        <v/>
      </c>
      <c r="Q36" s="42">
        <f>H36*L36</f>
        <v/>
      </c>
      <c r="R36" s="43">
        <f>Q36-P36</f>
        <v/>
      </c>
      <c r="S36" s="44">
        <f>E36-D36</f>
        <v/>
      </c>
      <c r="T36" s="44">
        <f>IF(G36="","",G36-E36)</f>
        <v/>
      </c>
      <c r="U36" s="44">
        <f>IF(G36="","",IF(G36&lt;=F36,1,0))</f>
        <v/>
      </c>
      <c r="V36" s="45">
        <f>DATE(YEAR(E36),MONTH(E36),1)</f>
        <v/>
      </c>
    </row>
    <row r="37">
      <c r="A37" s="36" t="inlineStr">
        <is>
          <t>PO-26036</t>
        </is>
      </c>
      <c r="B37" s="36" t="inlineStr">
        <is>
          <t>Nordline Industrial</t>
        </is>
      </c>
      <c r="C37" s="36" t="inlineStr">
        <is>
          <t>Raw Materials</t>
        </is>
      </c>
      <c r="D37" s="39" t="n">
        <v>46006</v>
      </c>
      <c r="E37" s="39" t="n">
        <v>46011</v>
      </c>
      <c r="F37" s="39" t="n">
        <v>46023</v>
      </c>
      <c r="G37" s="39" t="n">
        <v>46022</v>
      </c>
      <c r="H37" s="40" t="n">
        <v>501</v>
      </c>
      <c r="I37" s="40" t="n">
        <v>501</v>
      </c>
      <c r="J37" s="40" t="n">
        <v>5</v>
      </c>
      <c r="K37" s="41" t="n">
        <v>26.16</v>
      </c>
      <c r="L37" s="41" t="n">
        <v>27.25</v>
      </c>
      <c r="M37" s="36" t="inlineStr">
        <is>
          <t>Y</t>
        </is>
      </c>
      <c r="N37" s="36" t="inlineStr">
        <is>
          <t>Y</t>
        </is>
      </c>
      <c r="O37" s="36" t="inlineStr">
        <is>
          <t>N</t>
        </is>
      </c>
      <c r="P37" s="42">
        <f>H37*K37</f>
        <v/>
      </c>
      <c r="Q37" s="42">
        <f>H37*L37</f>
        <v/>
      </c>
      <c r="R37" s="43">
        <f>Q37-P37</f>
        <v/>
      </c>
      <c r="S37" s="44">
        <f>E37-D37</f>
        <v/>
      </c>
      <c r="T37" s="44">
        <f>IF(G37="","",G37-E37)</f>
        <v/>
      </c>
      <c r="U37" s="44">
        <f>IF(G37="","",IF(G37&lt;=F37,1,0))</f>
        <v/>
      </c>
      <c r="V37" s="45">
        <f>DATE(YEAR(E37),MONTH(E37),1)</f>
        <v/>
      </c>
    </row>
    <row r="38">
      <c r="A38" s="36" t="inlineStr">
        <is>
          <t>PO-26037</t>
        </is>
      </c>
      <c r="B38" s="36" t="inlineStr">
        <is>
          <t>Adria Packaging</t>
        </is>
      </c>
      <c r="C38" s="36" t="inlineStr">
        <is>
          <t>Packaging</t>
        </is>
      </c>
      <c r="D38" s="39" t="n">
        <v>46007</v>
      </c>
      <c r="E38" s="39" t="n">
        <v>46014</v>
      </c>
      <c r="F38" s="39" t="n">
        <v>46025</v>
      </c>
      <c r="G38" s="39" t="n">
        <v>46025</v>
      </c>
      <c r="H38" s="40" t="n">
        <v>9230</v>
      </c>
      <c r="I38" s="40" t="n">
        <v>9230</v>
      </c>
      <c r="J38" s="40" t="n">
        <v>5</v>
      </c>
      <c r="K38" s="41" t="n">
        <v>1.94</v>
      </c>
      <c r="L38" s="41" t="n">
        <v>1.99</v>
      </c>
      <c r="M38" s="36" t="inlineStr">
        <is>
          <t>Y</t>
        </is>
      </c>
      <c r="N38" s="36" t="inlineStr">
        <is>
          <t>Y</t>
        </is>
      </c>
      <c r="O38" s="36" t="inlineStr">
        <is>
          <t>N</t>
        </is>
      </c>
      <c r="P38" s="42">
        <f>H38*K38</f>
        <v/>
      </c>
      <c r="Q38" s="42">
        <f>H38*L38</f>
        <v/>
      </c>
      <c r="R38" s="43">
        <f>Q38-P38</f>
        <v/>
      </c>
      <c r="S38" s="44">
        <f>E38-D38</f>
        <v/>
      </c>
      <c r="T38" s="44">
        <f>IF(G38="","",G38-E38)</f>
        <v/>
      </c>
      <c r="U38" s="44">
        <f>IF(G38="","",IF(G38&lt;=F38,1,0))</f>
        <v/>
      </c>
      <c r="V38" s="45">
        <f>DATE(YEAR(E38),MONTH(E38),1)</f>
        <v/>
      </c>
    </row>
    <row r="39">
      <c r="A39" s="36" t="inlineStr">
        <is>
          <t>PO-26038</t>
        </is>
      </c>
      <c r="B39" s="36" t="inlineStr">
        <is>
          <t>Adria Packaging</t>
        </is>
      </c>
      <c r="C39" s="36" t="inlineStr">
        <is>
          <t>Packaging</t>
        </is>
      </c>
      <c r="D39" s="39" t="n">
        <v>46009</v>
      </c>
      <c r="E39" s="39" t="n">
        <v>46017</v>
      </c>
      <c r="F39" s="39" t="n">
        <v>46023</v>
      </c>
      <c r="G39" s="39" t="n">
        <v>46023</v>
      </c>
      <c r="H39" s="40" t="n">
        <v>6056</v>
      </c>
      <c r="I39" s="40" t="n">
        <v>6056</v>
      </c>
      <c r="J39" s="40" t="n">
        <v>4</v>
      </c>
      <c r="K39" s="41" t="n">
        <v>0.39</v>
      </c>
      <c r="L39" s="41" t="n">
        <v>0.42</v>
      </c>
      <c r="M39" s="36" t="inlineStr">
        <is>
          <t>Y</t>
        </is>
      </c>
      <c r="N39" s="36" t="inlineStr">
        <is>
          <t>Y</t>
        </is>
      </c>
      <c r="O39" s="36" t="inlineStr">
        <is>
          <t>N</t>
        </is>
      </c>
      <c r="P39" s="42">
        <f>H39*K39</f>
        <v/>
      </c>
      <c r="Q39" s="42">
        <f>H39*L39</f>
        <v/>
      </c>
      <c r="R39" s="43">
        <f>Q39-P39</f>
        <v/>
      </c>
      <c r="S39" s="44">
        <f>E39-D39</f>
        <v/>
      </c>
      <c r="T39" s="44">
        <f>IF(G39="","",G39-E39)</f>
        <v/>
      </c>
      <c r="U39" s="44">
        <f>IF(G39="","",IF(G39&lt;=F39,1,0))</f>
        <v/>
      </c>
      <c r="V39" s="45">
        <f>DATE(YEAR(E39),MONTH(E39),1)</f>
        <v/>
      </c>
    </row>
    <row r="40">
      <c r="A40" s="36" t="inlineStr">
        <is>
          <t>PO-26039</t>
        </is>
      </c>
      <c r="B40" s="36" t="inlineStr">
        <is>
          <t>Kestrel Office Supply</t>
        </is>
      </c>
      <c r="C40" s="36" t="inlineStr">
        <is>
          <t>Office</t>
        </is>
      </c>
      <c r="D40" s="39" t="n">
        <v>46017</v>
      </c>
      <c r="E40" s="39" t="n">
        <v>46019</v>
      </c>
      <c r="F40" s="39" t="n">
        <v>46038</v>
      </c>
      <c r="G40" s="39" t="n">
        <v>46038</v>
      </c>
      <c r="H40" s="40" t="n">
        <v>140</v>
      </c>
      <c r="I40" s="40" t="n">
        <v>140</v>
      </c>
      <c r="J40" s="40" t="n">
        <v>2</v>
      </c>
      <c r="K40" s="41" t="n">
        <v>8.18</v>
      </c>
      <c r="L40" s="41" t="n">
        <v>8.57</v>
      </c>
      <c r="M40" s="36" t="inlineStr">
        <is>
          <t>Y</t>
        </is>
      </c>
      <c r="N40" s="36" t="inlineStr">
        <is>
          <t>Y</t>
        </is>
      </c>
      <c r="O40" s="36" t="inlineStr">
        <is>
          <t>N</t>
        </is>
      </c>
      <c r="P40" s="42">
        <f>H40*K40</f>
        <v/>
      </c>
      <c r="Q40" s="42">
        <f>H40*L40</f>
        <v/>
      </c>
      <c r="R40" s="43">
        <f>Q40-P40</f>
        <v/>
      </c>
      <c r="S40" s="44">
        <f>E40-D40</f>
        <v/>
      </c>
      <c r="T40" s="44">
        <f>IF(G40="","",G40-E40)</f>
        <v/>
      </c>
      <c r="U40" s="44">
        <f>IF(G40="","",IF(G40&lt;=F40,1,0))</f>
        <v/>
      </c>
      <c r="V40" s="45">
        <f>DATE(YEAR(E40),MONTH(E40),1)</f>
        <v/>
      </c>
    </row>
    <row r="41">
      <c r="A41" s="36" t="inlineStr">
        <is>
          <t>PO-26040</t>
        </is>
      </c>
      <c r="B41" s="36" t="inlineStr">
        <is>
          <t>Nordline Industrial</t>
        </is>
      </c>
      <c r="C41" s="36" t="inlineStr">
        <is>
          <t>MRO</t>
        </is>
      </c>
      <c r="D41" s="39" t="n">
        <v>46013</v>
      </c>
      <c r="E41" s="39" t="n">
        <v>46019</v>
      </c>
      <c r="F41" s="39" t="n">
        <v>46036</v>
      </c>
      <c r="G41" s="39" t="n">
        <v>46045</v>
      </c>
      <c r="H41" s="40" t="n">
        <v>17</v>
      </c>
      <c r="I41" s="40" t="n">
        <v>17</v>
      </c>
      <c r="J41" s="40" t="n">
        <v>0</v>
      </c>
      <c r="K41" s="41" t="n">
        <v>89.63</v>
      </c>
      <c r="L41" s="41" t="n">
        <v>96.90000000000001</v>
      </c>
      <c r="M41" s="36" t="inlineStr">
        <is>
          <t>Y</t>
        </is>
      </c>
      <c r="N41" s="36" t="inlineStr">
        <is>
          <t>Y</t>
        </is>
      </c>
      <c r="O41" s="36" t="inlineStr">
        <is>
          <t>N</t>
        </is>
      </c>
      <c r="P41" s="42">
        <f>H41*K41</f>
        <v/>
      </c>
      <c r="Q41" s="42">
        <f>H41*L41</f>
        <v/>
      </c>
      <c r="R41" s="43">
        <f>Q41-P41</f>
        <v/>
      </c>
      <c r="S41" s="44">
        <f>E41-D41</f>
        <v/>
      </c>
      <c r="T41" s="44">
        <f>IF(G41="","",G41-E41)</f>
        <v/>
      </c>
      <c r="U41" s="44">
        <f>IF(G41="","",IF(G41&lt;=F41,1,0))</f>
        <v/>
      </c>
      <c r="V41" s="45">
        <f>DATE(YEAR(E41),MONTH(E41),1)</f>
        <v/>
      </c>
    </row>
    <row r="42">
      <c r="A42" s="36" t="inlineStr">
        <is>
          <t>PO-26041</t>
        </is>
      </c>
      <c r="B42" s="36" t="inlineStr">
        <is>
          <t>Bluewave Logistics</t>
        </is>
      </c>
      <c r="C42" s="36" t="inlineStr">
        <is>
          <t>Logistics</t>
        </is>
      </c>
      <c r="D42" s="39" t="n">
        <v>46018</v>
      </c>
      <c r="E42" s="39" t="n">
        <v>46024</v>
      </c>
      <c r="F42" s="39" t="n">
        <v>46030</v>
      </c>
      <c r="G42" s="39" t="n">
        <v>46029</v>
      </c>
      <c r="H42" s="40" t="n">
        <v>1</v>
      </c>
      <c r="I42" s="40" t="n">
        <v>1</v>
      </c>
      <c r="J42" s="40" t="n">
        <v>0</v>
      </c>
      <c r="K42" s="41" t="n">
        <v>277.29</v>
      </c>
      <c r="L42" s="41" t="n">
        <v>281.94</v>
      </c>
      <c r="M42" s="36" t="inlineStr">
        <is>
          <t>Y</t>
        </is>
      </c>
      <c r="N42" s="36" t="inlineStr">
        <is>
          <t>Y</t>
        </is>
      </c>
      <c r="O42" s="36" t="inlineStr">
        <is>
          <t>N</t>
        </is>
      </c>
      <c r="P42" s="42">
        <f>H42*K42</f>
        <v/>
      </c>
      <c r="Q42" s="42">
        <f>H42*L42</f>
        <v/>
      </c>
      <c r="R42" s="43">
        <f>Q42-P42</f>
        <v/>
      </c>
      <c r="S42" s="44">
        <f>E42-D42</f>
        <v/>
      </c>
      <c r="T42" s="44">
        <f>IF(G42="","",G42-E42)</f>
        <v/>
      </c>
      <c r="U42" s="44">
        <f>IF(G42="","",IF(G42&lt;=F42,1,0))</f>
        <v/>
      </c>
      <c r="V42" s="45">
        <f>DATE(YEAR(E42),MONTH(E42),1)</f>
        <v/>
      </c>
    </row>
    <row r="43">
      <c r="A43" s="36" t="inlineStr">
        <is>
          <t>PO-26042</t>
        </is>
      </c>
      <c r="B43" s="36" t="inlineStr">
        <is>
          <t>Bluewave Logistics</t>
        </is>
      </c>
      <c r="C43" s="36" t="inlineStr">
        <is>
          <t>Logistics</t>
        </is>
      </c>
      <c r="D43" s="39" t="n">
        <v>46015</v>
      </c>
      <c r="E43" s="39" t="n">
        <v>46024</v>
      </c>
      <c r="F43" s="39" t="n">
        <v>46044</v>
      </c>
      <c r="G43" s="39" t="n">
        <v>46044</v>
      </c>
      <c r="H43" s="40" t="n">
        <v>1</v>
      </c>
      <c r="I43" s="40" t="n">
        <v>1</v>
      </c>
      <c r="J43" s="40" t="n">
        <v>0</v>
      </c>
      <c r="K43" s="41" t="n">
        <v>677.3200000000001</v>
      </c>
      <c r="L43" s="41" t="n">
        <v>670.12</v>
      </c>
      <c r="M43" s="36" t="inlineStr">
        <is>
          <t>N</t>
        </is>
      </c>
      <c r="N43" s="36" t="inlineStr">
        <is>
          <t>Y</t>
        </is>
      </c>
      <c r="O43" s="36" t="inlineStr">
        <is>
          <t>N</t>
        </is>
      </c>
      <c r="P43" s="42">
        <f>H43*K43</f>
        <v/>
      </c>
      <c r="Q43" s="42">
        <f>H43*L43</f>
        <v/>
      </c>
      <c r="R43" s="43">
        <f>Q43-P43</f>
        <v/>
      </c>
      <c r="S43" s="44">
        <f>E43-D43</f>
        <v/>
      </c>
      <c r="T43" s="44">
        <f>IF(G43="","",G43-E43)</f>
        <v/>
      </c>
      <c r="U43" s="44">
        <f>IF(G43="","",IF(G43&lt;=F43,1,0))</f>
        <v/>
      </c>
      <c r="V43" s="45">
        <f>DATE(YEAR(E43),MONTH(E43),1)</f>
        <v/>
      </c>
    </row>
    <row r="44">
      <c r="A44" s="36" t="inlineStr">
        <is>
          <t>PO-26043</t>
        </is>
      </c>
      <c r="B44" s="36" t="inlineStr">
        <is>
          <t>Danubia Chemicals</t>
        </is>
      </c>
      <c r="C44" s="36" t="inlineStr">
        <is>
          <t>Raw Materials</t>
        </is>
      </c>
      <c r="D44" s="39" t="n">
        <v>46021</v>
      </c>
      <c r="E44" s="39" t="n">
        <v>46026</v>
      </c>
      <c r="F44" s="39" t="n">
        <v>46038</v>
      </c>
      <c r="G44" s="39" t="n">
        <v>46045</v>
      </c>
      <c r="H44" s="40" t="n">
        <v>1002</v>
      </c>
      <c r="I44" s="40" t="n">
        <v>1002</v>
      </c>
      <c r="J44" s="40" t="n">
        <v>21</v>
      </c>
      <c r="K44" s="41" t="n">
        <v>20.04</v>
      </c>
      <c r="L44" s="41" t="n">
        <v>20.57</v>
      </c>
      <c r="M44" s="36" t="inlineStr">
        <is>
          <t>Y</t>
        </is>
      </c>
      <c r="N44" s="36" t="inlineStr">
        <is>
          <t>Y</t>
        </is>
      </c>
      <c r="O44" s="36" t="inlineStr">
        <is>
          <t>N</t>
        </is>
      </c>
      <c r="P44" s="42">
        <f>H44*K44</f>
        <v/>
      </c>
      <c r="Q44" s="42">
        <f>H44*L44</f>
        <v/>
      </c>
      <c r="R44" s="43">
        <f>Q44-P44</f>
        <v/>
      </c>
      <c r="S44" s="44">
        <f>E44-D44</f>
        <v/>
      </c>
      <c r="T44" s="44">
        <f>IF(G44="","",G44-E44)</f>
        <v/>
      </c>
      <c r="U44" s="44">
        <f>IF(G44="","",IF(G44&lt;=F44,1,0))</f>
        <v/>
      </c>
      <c r="V44" s="45">
        <f>DATE(YEAR(E44),MONTH(E44),1)</f>
        <v/>
      </c>
    </row>
    <row r="45">
      <c r="A45" s="36" t="inlineStr">
        <is>
          <t>PO-26044</t>
        </is>
      </c>
      <c r="B45" s="36" t="inlineStr">
        <is>
          <t>Danubia Chemicals</t>
        </is>
      </c>
      <c r="C45" s="36" t="inlineStr">
        <is>
          <t>Raw Materials</t>
        </is>
      </c>
      <c r="D45" s="39" t="n">
        <v>46027</v>
      </c>
      <c r="E45" s="39" t="n">
        <v>46028</v>
      </c>
      <c r="F45" s="39" t="n">
        <v>46044</v>
      </c>
      <c r="G45" s="39" t="n">
        <v>46051</v>
      </c>
      <c r="H45" s="40" t="n">
        <v>1425</v>
      </c>
      <c r="I45" s="40" t="n">
        <v>1425</v>
      </c>
      <c r="J45" s="40" t="n">
        <v>15</v>
      </c>
      <c r="K45" s="41" t="n">
        <v>34.96</v>
      </c>
      <c r="L45" s="41" t="n">
        <v>31.66</v>
      </c>
      <c r="M45" s="36" t="inlineStr">
        <is>
          <t>N</t>
        </is>
      </c>
      <c r="N45" s="36" t="inlineStr">
        <is>
          <t>N</t>
        </is>
      </c>
      <c r="O45" s="36" t="inlineStr">
        <is>
          <t>N</t>
        </is>
      </c>
      <c r="P45" s="42">
        <f>H45*K45</f>
        <v/>
      </c>
      <c r="Q45" s="42">
        <f>H45*L45</f>
        <v/>
      </c>
      <c r="R45" s="43">
        <f>Q45-P45</f>
        <v/>
      </c>
      <c r="S45" s="44">
        <f>E45-D45</f>
        <v/>
      </c>
      <c r="T45" s="44">
        <f>IF(G45="","",G45-E45)</f>
        <v/>
      </c>
      <c r="U45" s="44">
        <f>IF(G45="","",IF(G45&lt;=F45,1,0))</f>
        <v/>
      </c>
      <c r="V45" s="45">
        <f>DATE(YEAR(E45),MONTH(E45),1)</f>
        <v/>
      </c>
    </row>
    <row r="46">
      <c r="A46" s="36" t="inlineStr">
        <is>
          <t>PO-26045</t>
        </is>
      </c>
      <c r="B46" s="36" t="inlineStr">
        <is>
          <t>Bluewave Logistics</t>
        </is>
      </c>
      <c r="C46" s="36" t="inlineStr">
        <is>
          <t>Logistics</t>
        </is>
      </c>
      <c r="D46" s="39" t="n">
        <v>46026</v>
      </c>
      <c r="E46" s="39" t="n">
        <v>46032</v>
      </c>
      <c r="F46" s="39" t="n">
        <v>46045</v>
      </c>
      <c r="G46" s="39" t="n">
        <v>46043</v>
      </c>
      <c r="H46" s="40" t="n">
        <v>1</v>
      </c>
      <c r="I46" s="40" t="n">
        <v>1</v>
      </c>
      <c r="J46" s="40" t="n">
        <v>0</v>
      </c>
      <c r="K46" s="41" t="n">
        <v>697.53</v>
      </c>
      <c r="L46" s="41" t="n">
        <v>709.4299999999999</v>
      </c>
      <c r="M46" s="36" t="inlineStr">
        <is>
          <t>Y</t>
        </is>
      </c>
      <c r="N46" s="36" t="inlineStr">
        <is>
          <t>Y</t>
        </is>
      </c>
      <c r="O46" s="36" t="inlineStr">
        <is>
          <t>N</t>
        </is>
      </c>
      <c r="P46" s="42">
        <f>H46*K46</f>
        <v/>
      </c>
      <c r="Q46" s="42">
        <f>H46*L46</f>
        <v/>
      </c>
      <c r="R46" s="43">
        <f>Q46-P46</f>
        <v/>
      </c>
      <c r="S46" s="44">
        <f>E46-D46</f>
        <v/>
      </c>
      <c r="T46" s="44">
        <f>IF(G46="","",G46-E46)</f>
        <v/>
      </c>
      <c r="U46" s="44">
        <f>IF(G46="","",IF(G46&lt;=F46,1,0))</f>
        <v/>
      </c>
      <c r="V46" s="45">
        <f>DATE(YEAR(E46),MONTH(E46),1)</f>
        <v/>
      </c>
    </row>
    <row r="47">
      <c r="A47" s="36" t="inlineStr">
        <is>
          <t>PO-26046</t>
        </is>
      </c>
      <c r="B47" s="36" t="inlineStr">
        <is>
          <t>Vektor Components</t>
        </is>
      </c>
      <c r="C47" s="36" t="inlineStr">
        <is>
          <t>MRO</t>
        </is>
      </c>
      <c r="D47" s="39" t="n">
        <v>46025</v>
      </c>
      <c r="E47" s="39" t="n">
        <v>46034</v>
      </c>
      <c r="F47" s="39" t="n">
        <v>46040</v>
      </c>
      <c r="G47" s="39" t="n">
        <v>46041</v>
      </c>
      <c r="H47" s="40" t="n">
        <v>20</v>
      </c>
      <c r="I47" s="40" t="n">
        <v>20</v>
      </c>
      <c r="J47" s="40" t="n">
        <v>1</v>
      </c>
      <c r="K47" s="41" t="n">
        <v>28.93</v>
      </c>
      <c r="L47" s="41" t="n">
        <v>29.37</v>
      </c>
      <c r="M47" s="36" t="inlineStr">
        <is>
          <t>Y</t>
        </is>
      </c>
      <c r="N47" s="36" t="inlineStr">
        <is>
          <t>Y</t>
        </is>
      </c>
      <c r="O47" s="36" t="inlineStr">
        <is>
          <t>N</t>
        </is>
      </c>
      <c r="P47" s="42">
        <f>H47*K47</f>
        <v/>
      </c>
      <c r="Q47" s="42">
        <f>H47*L47</f>
        <v/>
      </c>
      <c r="R47" s="43">
        <f>Q47-P47</f>
        <v/>
      </c>
      <c r="S47" s="44">
        <f>E47-D47</f>
        <v/>
      </c>
      <c r="T47" s="44">
        <f>IF(G47="","",G47-E47)</f>
        <v/>
      </c>
      <c r="U47" s="44">
        <f>IF(G47="","",IF(G47&lt;=F47,1,0))</f>
        <v/>
      </c>
      <c r="V47" s="45">
        <f>DATE(YEAR(E47),MONTH(E47),1)</f>
        <v/>
      </c>
    </row>
    <row r="48">
      <c r="A48" s="36" t="inlineStr">
        <is>
          <t>PO-26047</t>
        </is>
      </c>
      <c r="B48" s="36" t="inlineStr">
        <is>
          <t>Vektor Components</t>
        </is>
      </c>
      <c r="C48" s="36" t="inlineStr">
        <is>
          <t>IT</t>
        </is>
      </c>
      <c r="D48" s="39" t="n">
        <v>46033</v>
      </c>
      <c r="E48" s="39" t="n">
        <v>46036</v>
      </c>
      <c r="F48" s="39" t="n">
        <v>46050</v>
      </c>
      <c r="G48" s="39" t="n">
        <v>46055</v>
      </c>
      <c r="H48" s="40" t="n">
        <v>23</v>
      </c>
      <c r="I48" s="40" t="n">
        <v>23</v>
      </c>
      <c r="J48" s="40" t="n">
        <v>0</v>
      </c>
      <c r="K48" s="41" t="n">
        <v>451.66</v>
      </c>
      <c r="L48" s="41" t="n">
        <v>482.9</v>
      </c>
      <c r="M48" s="36" t="inlineStr">
        <is>
          <t>Y</t>
        </is>
      </c>
      <c r="N48" s="36" t="inlineStr">
        <is>
          <t>Y</t>
        </is>
      </c>
      <c r="O48" s="36" t="inlineStr">
        <is>
          <t>N</t>
        </is>
      </c>
      <c r="P48" s="42">
        <f>H48*K48</f>
        <v/>
      </c>
      <c r="Q48" s="42">
        <f>H48*L48</f>
        <v/>
      </c>
      <c r="R48" s="43">
        <f>Q48-P48</f>
        <v/>
      </c>
      <c r="S48" s="44">
        <f>E48-D48</f>
        <v/>
      </c>
      <c r="T48" s="44">
        <f>IF(G48="","",G48-E48)</f>
        <v/>
      </c>
      <c r="U48" s="44">
        <f>IF(G48="","",IF(G48&lt;=F48,1,0))</f>
        <v/>
      </c>
      <c r="V48" s="45">
        <f>DATE(YEAR(E48),MONTH(E48),1)</f>
        <v/>
      </c>
    </row>
    <row r="49">
      <c r="A49" s="36" t="inlineStr">
        <is>
          <t>PO-26048</t>
        </is>
      </c>
      <c r="B49" s="36" t="inlineStr">
        <is>
          <t>Nordline Industrial</t>
        </is>
      </c>
      <c r="C49" s="36" t="inlineStr">
        <is>
          <t>MRO</t>
        </is>
      </c>
      <c r="D49" s="39" t="n">
        <v>46037</v>
      </c>
      <c r="E49" s="39" t="n">
        <v>46038</v>
      </c>
      <c r="F49" s="39" t="n">
        <v>46042</v>
      </c>
      <c r="G49" s="39" t="n">
        <v>46041</v>
      </c>
      <c r="H49" s="40" t="n">
        <v>30</v>
      </c>
      <c r="I49" s="40" t="n">
        <v>30</v>
      </c>
      <c r="J49" s="40" t="n">
        <v>0</v>
      </c>
      <c r="K49" s="41" t="n">
        <v>92.3</v>
      </c>
      <c r="L49" s="41" t="n">
        <v>99.95</v>
      </c>
      <c r="M49" s="36" t="inlineStr">
        <is>
          <t>Y</t>
        </is>
      </c>
      <c r="N49" s="36" t="inlineStr">
        <is>
          <t>Y</t>
        </is>
      </c>
      <c r="O49" s="36" t="inlineStr">
        <is>
          <t>Y</t>
        </is>
      </c>
      <c r="P49" s="42">
        <f>H49*K49</f>
        <v/>
      </c>
      <c r="Q49" s="42">
        <f>H49*L49</f>
        <v/>
      </c>
      <c r="R49" s="43">
        <f>Q49-P49</f>
        <v/>
      </c>
      <c r="S49" s="44">
        <f>E49-D49</f>
        <v/>
      </c>
      <c r="T49" s="44">
        <f>IF(G49="","",G49-E49)</f>
        <v/>
      </c>
      <c r="U49" s="44">
        <f>IF(G49="","",IF(G49&lt;=F49,1,0))</f>
        <v/>
      </c>
      <c r="V49" s="45">
        <f>DATE(YEAR(E49),MONTH(E49),1)</f>
        <v/>
      </c>
    </row>
    <row r="50">
      <c r="A50" s="36" t="inlineStr">
        <is>
          <t>PO-26049</t>
        </is>
      </c>
      <c r="B50" s="36" t="inlineStr">
        <is>
          <t>Danubia Chemicals</t>
        </is>
      </c>
      <c r="C50" s="36" t="inlineStr">
        <is>
          <t>Raw Materials</t>
        </is>
      </c>
      <c r="D50" s="39" t="n">
        <v>46037</v>
      </c>
      <c r="E50" s="39" t="n">
        <v>46041</v>
      </c>
      <c r="F50" s="39" t="n">
        <v>46053</v>
      </c>
      <c r="G50" s="39" t="n">
        <v>46054</v>
      </c>
      <c r="H50" s="40" t="n">
        <v>1931</v>
      </c>
      <c r="I50" s="40" t="n">
        <v>1931</v>
      </c>
      <c r="J50" s="40" t="n">
        <v>16</v>
      </c>
      <c r="K50" s="41" t="n">
        <v>8.59</v>
      </c>
      <c r="L50" s="41" t="n">
        <v>8.640000000000001</v>
      </c>
      <c r="M50" s="36" t="inlineStr">
        <is>
          <t>N</t>
        </is>
      </c>
      <c r="N50" s="36" t="inlineStr">
        <is>
          <t>N</t>
        </is>
      </c>
      <c r="O50" s="36" t="inlineStr">
        <is>
          <t>N</t>
        </is>
      </c>
      <c r="P50" s="42">
        <f>H50*K50</f>
        <v/>
      </c>
      <c r="Q50" s="42">
        <f>H50*L50</f>
        <v/>
      </c>
      <c r="R50" s="43">
        <f>Q50-P50</f>
        <v/>
      </c>
      <c r="S50" s="44">
        <f>E50-D50</f>
        <v/>
      </c>
      <c r="T50" s="44">
        <f>IF(G50="","",G50-E50)</f>
        <v/>
      </c>
      <c r="U50" s="44">
        <f>IF(G50="","",IF(G50&lt;=F50,1,0))</f>
        <v/>
      </c>
      <c r="V50" s="45">
        <f>DATE(YEAR(E50),MONTH(E50),1)</f>
        <v/>
      </c>
    </row>
    <row r="51">
      <c r="A51" s="36" t="inlineStr">
        <is>
          <t>PO-26050</t>
        </is>
      </c>
      <c r="B51" s="36" t="inlineStr">
        <is>
          <t>Kestrel Office Supply</t>
        </is>
      </c>
      <c r="C51" s="36" t="inlineStr">
        <is>
          <t>IT</t>
        </is>
      </c>
      <c r="D51" s="39" t="n">
        <v>46036</v>
      </c>
      <c r="E51" s="39" t="n">
        <v>46043</v>
      </c>
      <c r="F51" s="39" t="n">
        <v>46048</v>
      </c>
      <c r="G51" s="39" t="n">
        <v>46048</v>
      </c>
      <c r="H51" s="40" t="n">
        <v>11</v>
      </c>
      <c r="I51" s="40" t="n">
        <v>11</v>
      </c>
      <c r="J51" s="40" t="n">
        <v>0</v>
      </c>
      <c r="K51" s="41" t="n">
        <v>898.65</v>
      </c>
      <c r="L51" s="41" t="n">
        <v>808.14</v>
      </c>
      <c r="M51" s="36" t="inlineStr">
        <is>
          <t>N</t>
        </is>
      </c>
      <c r="N51" s="36" t="inlineStr">
        <is>
          <t>Y</t>
        </is>
      </c>
      <c r="O51" s="36" t="inlineStr">
        <is>
          <t>N</t>
        </is>
      </c>
      <c r="P51" s="42">
        <f>H51*K51</f>
        <v/>
      </c>
      <c r="Q51" s="42">
        <f>H51*L51</f>
        <v/>
      </c>
      <c r="R51" s="43">
        <f>Q51-P51</f>
        <v/>
      </c>
      <c r="S51" s="44">
        <f>E51-D51</f>
        <v/>
      </c>
      <c r="T51" s="44">
        <f>IF(G51="","",G51-E51)</f>
        <v/>
      </c>
      <c r="U51" s="44">
        <f>IF(G51="","",IF(G51&lt;=F51,1,0))</f>
        <v/>
      </c>
      <c r="V51" s="45">
        <f>DATE(YEAR(E51),MONTH(E51),1)</f>
        <v/>
      </c>
    </row>
    <row r="52">
      <c r="A52" s="36" t="inlineStr">
        <is>
          <t>PO-26051</t>
        </is>
      </c>
      <c r="B52" s="36" t="inlineStr">
        <is>
          <t>Adria Packaging</t>
        </is>
      </c>
      <c r="C52" s="36" t="inlineStr">
        <is>
          <t>Packaging</t>
        </is>
      </c>
      <c r="D52" s="39" t="n">
        <v>46039</v>
      </c>
      <c r="E52" s="39" t="n">
        <v>46044</v>
      </c>
      <c r="F52" s="39" t="n">
        <v>46058</v>
      </c>
      <c r="G52" s="39" t="n">
        <v>46058</v>
      </c>
      <c r="H52" s="40" t="n">
        <v>4331</v>
      </c>
      <c r="I52" s="40" t="n">
        <v>4331</v>
      </c>
      <c r="J52" s="40" t="n">
        <v>5</v>
      </c>
      <c r="K52" s="41" t="n">
        <v>1.41</v>
      </c>
      <c r="L52" s="41" t="n">
        <v>1.54</v>
      </c>
      <c r="M52" s="36" t="inlineStr">
        <is>
          <t>Y</t>
        </is>
      </c>
      <c r="N52" s="36" t="inlineStr">
        <is>
          <t>Y</t>
        </is>
      </c>
      <c r="O52" s="36" t="inlineStr">
        <is>
          <t>N</t>
        </is>
      </c>
      <c r="P52" s="42">
        <f>H52*K52</f>
        <v/>
      </c>
      <c r="Q52" s="42">
        <f>H52*L52</f>
        <v/>
      </c>
      <c r="R52" s="43">
        <f>Q52-P52</f>
        <v/>
      </c>
      <c r="S52" s="44">
        <f>E52-D52</f>
        <v/>
      </c>
      <c r="T52" s="44">
        <f>IF(G52="","",G52-E52)</f>
        <v/>
      </c>
      <c r="U52" s="44">
        <f>IF(G52="","",IF(G52&lt;=F52,1,0))</f>
        <v/>
      </c>
      <c r="V52" s="45">
        <f>DATE(YEAR(E52),MONTH(E52),1)</f>
        <v/>
      </c>
    </row>
    <row r="53">
      <c r="A53" s="36" t="inlineStr">
        <is>
          <t>PO-26052</t>
        </is>
      </c>
      <c r="B53" s="36" t="inlineStr">
        <is>
          <t>Adria Packaging</t>
        </is>
      </c>
      <c r="C53" s="36" t="inlineStr">
        <is>
          <t>Packaging</t>
        </is>
      </c>
      <c r="D53" s="39" t="n">
        <v>46043</v>
      </c>
      <c r="E53" s="39" t="n">
        <v>46047</v>
      </c>
      <c r="F53" s="39" t="n">
        <v>46056</v>
      </c>
      <c r="G53" s="39" t="n">
        <v>46054</v>
      </c>
      <c r="H53" s="40" t="n">
        <v>2959</v>
      </c>
      <c r="I53" s="40" t="n">
        <v>2959</v>
      </c>
      <c r="J53" s="40" t="n">
        <v>3</v>
      </c>
      <c r="K53" s="41" t="n">
        <v>1.97</v>
      </c>
      <c r="L53" s="41" t="n">
        <v>2.09</v>
      </c>
      <c r="M53" s="36" t="inlineStr">
        <is>
          <t>Y</t>
        </is>
      </c>
      <c r="N53" s="36" t="inlineStr">
        <is>
          <t>Y</t>
        </is>
      </c>
      <c r="O53" s="36" t="inlineStr">
        <is>
          <t>N</t>
        </is>
      </c>
      <c r="P53" s="42">
        <f>H53*K53</f>
        <v/>
      </c>
      <c r="Q53" s="42">
        <f>H53*L53</f>
        <v/>
      </c>
      <c r="R53" s="43">
        <f>Q53-P53</f>
        <v/>
      </c>
      <c r="S53" s="44">
        <f>E53-D53</f>
        <v/>
      </c>
      <c r="T53" s="44">
        <f>IF(G53="","",G53-E53)</f>
        <v/>
      </c>
      <c r="U53" s="44">
        <f>IF(G53="","",IF(G53&lt;=F53,1,0))</f>
        <v/>
      </c>
      <c r="V53" s="45">
        <f>DATE(YEAR(E53),MONTH(E53),1)</f>
        <v/>
      </c>
    </row>
    <row r="54">
      <c r="A54" s="36" t="inlineStr">
        <is>
          <t>PO-26053</t>
        </is>
      </c>
      <c r="B54" s="36" t="inlineStr">
        <is>
          <t>Bluewave Logistics</t>
        </is>
      </c>
      <c r="C54" s="36" t="inlineStr">
        <is>
          <t>Logistics</t>
        </is>
      </c>
      <c r="D54" s="39" t="n">
        <v>46046</v>
      </c>
      <c r="E54" s="39" t="n">
        <v>46049</v>
      </c>
      <c r="F54" s="39" t="n">
        <v>46061</v>
      </c>
      <c r="G54" s="39" t="n">
        <v>46059</v>
      </c>
      <c r="H54" s="40" t="n">
        <v>1</v>
      </c>
      <c r="I54" s="40" t="n">
        <v>1</v>
      </c>
      <c r="J54" s="40" t="n">
        <v>0</v>
      </c>
      <c r="K54" s="41" t="n">
        <v>684.24</v>
      </c>
      <c r="L54" s="41" t="n">
        <v>716.22</v>
      </c>
      <c r="M54" s="36" t="inlineStr">
        <is>
          <t>Y</t>
        </is>
      </c>
      <c r="N54" s="36" t="inlineStr">
        <is>
          <t>Y</t>
        </is>
      </c>
      <c r="O54" s="36" t="inlineStr">
        <is>
          <t>N</t>
        </is>
      </c>
      <c r="P54" s="42">
        <f>H54*K54</f>
        <v/>
      </c>
      <c r="Q54" s="42">
        <f>H54*L54</f>
        <v/>
      </c>
      <c r="R54" s="43">
        <f>Q54-P54</f>
        <v/>
      </c>
      <c r="S54" s="44">
        <f>E54-D54</f>
        <v/>
      </c>
      <c r="T54" s="44">
        <f>IF(G54="","",G54-E54)</f>
        <v/>
      </c>
      <c r="U54" s="44">
        <f>IF(G54="","",IF(G54&lt;=F54,1,0))</f>
        <v/>
      </c>
      <c r="V54" s="45">
        <f>DATE(YEAR(E54),MONTH(E54),1)</f>
        <v/>
      </c>
    </row>
    <row r="55">
      <c r="A55" s="36" t="inlineStr">
        <is>
          <t>PO-26054</t>
        </is>
      </c>
      <c r="B55" s="36" t="inlineStr">
        <is>
          <t>Danubia Chemicals</t>
        </is>
      </c>
      <c r="C55" s="36" t="inlineStr">
        <is>
          <t>Raw Materials</t>
        </is>
      </c>
      <c r="D55" s="39" t="n">
        <v>46047</v>
      </c>
      <c r="E55" s="39" t="n">
        <v>46053</v>
      </c>
      <c r="F55" s="39" t="n">
        <v>46072</v>
      </c>
      <c r="G55" s="39" t="n">
        <v>46070</v>
      </c>
      <c r="H55" s="40" t="n">
        <v>1258</v>
      </c>
      <c r="I55" s="40" t="n">
        <v>1258</v>
      </c>
      <c r="J55" s="40" t="n">
        <v>10</v>
      </c>
      <c r="K55" s="41" t="n">
        <v>25.63</v>
      </c>
      <c r="L55" s="41" t="n">
        <v>26.47</v>
      </c>
      <c r="M55" s="36" t="inlineStr">
        <is>
          <t>Y</t>
        </is>
      </c>
      <c r="N55" s="36" t="inlineStr">
        <is>
          <t>Y</t>
        </is>
      </c>
      <c r="O55" s="36" t="inlineStr">
        <is>
          <t>N</t>
        </is>
      </c>
      <c r="P55" s="42">
        <f>H55*K55</f>
        <v/>
      </c>
      <c r="Q55" s="42">
        <f>H55*L55</f>
        <v/>
      </c>
      <c r="R55" s="43">
        <f>Q55-P55</f>
        <v/>
      </c>
      <c r="S55" s="44">
        <f>E55-D55</f>
        <v/>
      </c>
      <c r="T55" s="44">
        <f>IF(G55="","",G55-E55)</f>
        <v/>
      </c>
      <c r="U55" s="44">
        <f>IF(G55="","",IF(G55&lt;=F55,1,0))</f>
        <v/>
      </c>
      <c r="V55" s="45">
        <f>DATE(YEAR(E55),MONTH(E55),1)</f>
        <v/>
      </c>
    </row>
    <row r="56">
      <c r="A56" s="36" t="inlineStr">
        <is>
          <t>PO-26055</t>
        </is>
      </c>
      <c r="B56" s="36" t="inlineStr">
        <is>
          <t>Adria Packaging</t>
        </is>
      </c>
      <c r="C56" s="36" t="inlineStr">
        <is>
          <t>Packaging</t>
        </is>
      </c>
      <c r="D56" s="39" t="n">
        <v>46047</v>
      </c>
      <c r="E56" s="39" t="n">
        <v>46054</v>
      </c>
      <c r="F56" s="39" t="n">
        <v>46072</v>
      </c>
      <c r="G56" s="39" t="n">
        <v>46071</v>
      </c>
      <c r="H56" s="40" t="n">
        <v>3269</v>
      </c>
      <c r="I56" s="40" t="n">
        <v>3269</v>
      </c>
      <c r="J56" s="40" t="n">
        <v>3</v>
      </c>
      <c r="K56" s="41" t="n">
        <v>2.41</v>
      </c>
      <c r="L56" s="41" t="n">
        <v>2.6</v>
      </c>
      <c r="M56" s="36" t="inlineStr">
        <is>
          <t>Y</t>
        </is>
      </c>
      <c r="N56" s="36" t="inlineStr">
        <is>
          <t>Y</t>
        </is>
      </c>
      <c r="O56" s="36" t="inlineStr">
        <is>
          <t>N</t>
        </is>
      </c>
      <c r="P56" s="42">
        <f>H56*K56</f>
        <v/>
      </c>
      <c r="Q56" s="42">
        <f>H56*L56</f>
        <v/>
      </c>
      <c r="R56" s="43">
        <f>Q56-P56</f>
        <v/>
      </c>
      <c r="S56" s="44">
        <f>E56-D56</f>
        <v/>
      </c>
      <c r="T56" s="44">
        <f>IF(G56="","",G56-E56)</f>
        <v/>
      </c>
      <c r="U56" s="44">
        <f>IF(G56="","",IF(G56&lt;=F56,1,0))</f>
        <v/>
      </c>
      <c r="V56" s="45">
        <f>DATE(YEAR(E56),MONTH(E56),1)</f>
        <v/>
      </c>
    </row>
    <row r="57">
      <c r="A57" s="36" t="inlineStr">
        <is>
          <t>PO-26056</t>
        </is>
      </c>
      <c r="B57" s="36" t="inlineStr">
        <is>
          <t>Adria Packaging</t>
        </is>
      </c>
      <c r="C57" s="36" t="inlineStr">
        <is>
          <t>Packaging</t>
        </is>
      </c>
      <c r="D57" s="39" t="n">
        <v>46052</v>
      </c>
      <c r="E57" s="39" t="n">
        <v>46058</v>
      </c>
      <c r="F57" s="39" t="n">
        <v>46065</v>
      </c>
      <c r="G57" s="39" t="n">
        <v>46065</v>
      </c>
      <c r="H57" s="40" t="n">
        <v>3903</v>
      </c>
      <c r="I57" s="40" t="n">
        <v>3903</v>
      </c>
      <c r="J57" s="40" t="n">
        <v>4</v>
      </c>
      <c r="K57" s="41" t="n">
        <v>0.7</v>
      </c>
      <c r="L57" s="41" t="n">
        <v>0.75</v>
      </c>
      <c r="M57" s="36" t="inlineStr">
        <is>
          <t>Y</t>
        </is>
      </c>
      <c r="N57" s="36" t="inlineStr">
        <is>
          <t>Y</t>
        </is>
      </c>
      <c r="O57" s="36" t="inlineStr">
        <is>
          <t>N</t>
        </is>
      </c>
      <c r="P57" s="42">
        <f>H57*K57</f>
        <v/>
      </c>
      <c r="Q57" s="42">
        <f>H57*L57</f>
        <v/>
      </c>
      <c r="R57" s="43">
        <f>Q57-P57</f>
        <v/>
      </c>
      <c r="S57" s="44">
        <f>E57-D57</f>
        <v/>
      </c>
      <c r="T57" s="44">
        <f>IF(G57="","",G57-E57)</f>
        <v/>
      </c>
      <c r="U57" s="44">
        <f>IF(G57="","",IF(G57&lt;=F57,1,0))</f>
        <v/>
      </c>
      <c r="V57" s="45">
        <f>DATE(YEAR(E57),MONTH(E57),1)</f>
        <v/>
      </c>
    </row>
    <row r="58">
      <c r="A58" s="36" t="inlineStr">
        <is>
          <t>PO-26057</t>
        </is>
      </c>
      <c r="B58" s="36" t="inlineStr">
        <is>
          <t>Danubia Chemicals</t>
        </is>
      </c>
      <c r="C58" s="36" t="inlineStr">
        <is>
          <t>Raw Materials</t>
        </is>
      </c>
      <c r="D58" s="39" t="n">
        <v>46052</v>
      </c>
      <c r="E58" s="39" t="n">
        <v>46059</v>
      </c>
      <c r="F58" s="39" t="n">
        <v>46067</v>
      </c>
      <c r="G58" s="39" t="n">
        <v>46066</v>
      </c>
      <c r="H58" s="40" t="n">
        <v>259</v>
      </c>
      <c r="I58" s="40" t="n">
        <v>259</v>
      </c>
      <c r="J58" s="40" t="n">
        <v>12</v>
      </c>
      <c r="K58" s="41" t="n">
        <v>23.91</v>
      </c>
      <c r="L58" s="41" t="n">
        <v>22.26</v>
      </c>
      <c r="M58" s="36" t="inlineStr">
        <is>
          <t>N</t>
        </is>
      </c>
      <c r="N58" s="36" t="inlineStr">
        <is>
          <t>N</t>
        </is>
      </c>
      <c r="O58" s="36" t="inlineStr">
        <is>
          <t>N</t>
        </is>
      </c>
      <c r="P58" s="42">
        <f>H58*K58</f>
        <v/>
      </c>
      <c r="Q58" s="42">
        <f>H58*L58</f>
        <v/>
      </c>
      <c r="R58" s="43">
        <f>Q58-P58</f>
        <v/>
      </c>
      <c r="S58" s="44">
        <f>E58-D58</f>
        <v/>
      </c>
      <c r="T58" s="44">
        <f>IF(G58="","",G58-E58)</f>
        <v/>
      </c>
      <c r="U58" s="44">
        <f>IF(G58="","",IF(G58&lt;=F58,1,0))</f>
        <v/>
      </c>
      <c r="V58" s="45">
        <f>DATE(YEAR(E58),MONTH(E58),1)</f>
        <v/>
      </c>
    </row>
    <row r="59">
      <c r="A59" s="36" t="inlineStr">
        <is>
          <t>PO-26058</t>
        </is>
      </c>
      <c r="B59" s="36" t="inlineStr">
        <is>
          <t>Nordline Industrial</t>
        </is>
      </c>
      <c r="C59" s="36" t="inlineStr">
        <is>
          <t>MRO</t>
        </is>
      </c>
      <c r="D59" s="39" t="n">
        <v>46052</v>
      </c>
      <c r="E59" s="39" t="n">
        <v>46061</v>
      </c>
      <c r="F59" s="39" t="n">
        <v>46081</v>
      </c>
      <c r="G59" s="39" t="n">
        <v>46080</v>
      </c>
      <c r="H59" s="40" t="n">
        <v>23</v>
      </c>
      <c r="I59" s="40" t="n">
        <v>23</v>
      </c>
      <c r="J59" s="40" t="n">
        <v>0</v>
      </c>
      <c r="K59" s="41" t="n">
        <v>99.81999999999999</v>
      </c>
      <c r="L59" s="41" t="n">
        <v>104.62</v>
      </c>
      <c r="M59" s="36" t="inlineStr">
        <is>
          <t>Y</t>
        </is>
      </c>
      <c r="N59" s="36" t="inlineStr">
        <is>
          <t>Y</t>
        </is>
      </c>
      <c r="O59" s="36" t="inlineStr">
        <is>
          <t>N</t>
        </is>
      </c>
      <c r="P59" s="42">
        <f>H59*K59</f>
        <v/>
      </c>
      <c r="Q59" s="42">
        <f>H59*L59</f>
        <v/>
      </c>
      <c r="R59" s="43">
        <f>Q59-P59</f>
        <v/>
      </c>
      <c r="S59" s="44">
        <f>E59-D59</f>
        <v/>
      </c>
      <c r="T59" s="44">
        <f>IF(G59="","",G59-E59)</f>
        <v/>
      </c>
      <c r="U59" s="44">
        <f>IF(G59="","",IF(G59&lt;=F59,1,0))</f>
        <v/>
      </c>
      <c r="V59" s="45">
        <f>DATE(YEAR(E59),MONTH(E59),1)</f>
        <v/>
      </c>
    </row>
    <row r="60">
      <c r="A60" s="36" t="inlineStr">
        <is>
          <t>PO-26059</t>
        </is>
      </c>
      <c r="B60" s="36" t="inlineStr">
        <is>
          <t>Nordline Industrial</t>
        </is>
      </c>
      <c r="C60" s="36" t="inlineStr">
        <is>
          <t>MRO</t>
        </is>
      </c>
      <c r="D60" s="39" t="n">
        <v>46056</v>
      </c>
      <c r="E60" s="39" t="n">
        <v>46063</v>
      </c>
      <c r="F60" s="39" t="n">
        <v>46068</v>
      </c>
      <c r="G60" s="39" t="n">
        <v>46066</v>
      </c>
      <c r="H60" s="40" t="n">
        <v>28</v>
      </c>
      <c r="I60" s="40" t="n">
        <v>28</v>
      </c>
      <c r="J60" s="40" t="n">
        <v>0</v>
      </c>
      <c r="K60" s="41" t="n">
        <v>76.98</v>
      </c>
      <c r="L60" s="41" t="n">
        <v>81.66</v>
      </c>
      <c r="M60" s="36" t="inlineStr">
        <is>
          <t>Y</t>
        </is>
      </c>
      <c r="N60" s="36" t="inlineStr">
        <is>
          <t>Y</t>
        </is>
      </c>
      <c r="O60" s="36" t="inlineStr">
        <is>
          <t>N</t>
        </is>
      </c>
      <c r="P60" s="42">
        <f>H60*K60</f>
        <v/>
      </c>
      <c r="Q60" s="42">
        <f>H60*L60</f>
        <v/>
      </c>
      <c r="R60" s="43">
        <f>Q60-P60</f>
        <v/>
      </c>
      <c r="S60" s="44">
        <f>E60-D60</f>
        <v/>
      </c>
      <c r="T60" s="44">
        <f>IF(G60="","",G60-E60)</f>
        <v/>
      </c>
      <c r="U60" s="44">
        <f>IF(G60="","",IF(G60&lt;=F60,1,0))</f>
        <v/>
      </c>
      <c r="V60" s="45">
        <f>DATE(YEAR(E60),MONTH(E60),1)</f>
        <v/>
      </c>
    </row>
    <row r="61">
      <c r="A61" s="36" t="inlineStr">
        <is>
          <t>PO-26060</t>
        </is>
      </c>
      <c r="B61" s="36" t="inlineStr">
        <is>
          <t>Adria Packaging</t>
        </is>
      </c>
      <c r="C61" s="36" t="inlineStr">
        <is>
          <t>Packaging</t>
        </is>
      </c>
      <c r="D61" s="39" t="n">
        <v>46064</v>
      </c>
      <c r="E61" s="39" t="n">
        <v>46065</v>
      </c>
      <c r="F61" s="39" t="n">
        <v>46073</v>
      </c>
      <c r="G61" s="39" t="n">
        <v>46072</v>
      </c>
      <c r="H61" s="40" t="n">
        <v>9692</v>
      </c>
      <c r="I61" s="40" t="n">
        <v>9692</v>
      </c>
      <c r="J61" s="40" t="n">
        <v>4</v>
      </c>
      <c r="K61" s="41" t="n">
        <v>0.38</v>
      </c>
      <c r="L61" s="41" t="n">
        <v>0.42</v>
      </c>
      <c r="M61" s="36" t="inlineStr">
        <is>
          <t>Y</t>
        </is>
      </c>
      <c r="N61" s="36" t="inlineStr">
        <is>
          <t>Y</t>
        </is>
      </c>
      <c r="O61" s="36" t="inlineStr">
        <is>
          <t>N</t>
        </is>
      </c>
      <c r="P61" s="42">
        <f>H61*K61</f>
        <v/>
      </c>
      <c r="Q61" s="42">
        <f>H61*L61</f>
        <v/>
      </c>
      <c r="R61" s="43">
        <f>Q61-P61</f>
        <v/>
      </c>
      <c r="S61" s="44">
        <f>E61-D61</f>
        <v/>
      </c>
      <c r="T61" s="44">
        <f>IF(G61="","",G61-E61)</f>
        <v/>
      </c>
      <c r="U61" s="44">
        <f>IF(G61="","",IF(G61&lt;=F61,1,0))</f>
        <v/>
      </c>
      <c r="V61" s="45">
        <f>DATE(YEAR(E61),MONTH(E61),1)</f>
        <v/>
      </c>
    </row>
    <row r="62">
      <c r="A62" s="36" t="inlineStr">
        <is>
          <t>PO-26061</t>
        </is>
      </c>
      <c r="B62" s="36" t="inlineStr">
        <is>
          <t>Nordline Industrial</t>
        </is>
      </c>
      <c r="C62" s="36" t="inlineStr">
        <is>
          <t>Raw Materials</t>
        </is>
      </c>
      <c r="D62" s="39" t="n">
        <v>46063</v>
      </c>
      <c r="E62" s="39" t="n">
        <v>46068</v>
      </c>
      <c r="F62" s="39" t="n">
        <v>46084</v>
      </c>
      <c r="G62" s="39" t="n">
        <v>46082</v>
      </c>
      <c r="H62" s="40" t="n">
        <v>1399</v>
      </c>
      <c r="I62" s="40" t="n">
        <v>1399</v>
      </c>
      <c r="J62" s="40" t="n">
        <v>7</v>
      </c>
      <c r="K62" s="41" t="n">
        <v>11.28</v>
      </c>
      <c r="L62" s="41" t="n">
        <v>11.95</v>
      </c>
      <c r="M62" s="36" t="inlineStr">
        <is>
          <t>Y</t>
        </is>
      </c>
      <c r="N62" s="36" t="inlineStr">
        <is>
          <t>Y</t>
        </is>
      </c>
      <c r="O62" s="36" t="inlineStr">
        <is>
          <t>N</t>
        </is>
      </c>
      <c r="P62" s="42">
        <f>H62*K62</f>
        <v/>
      </c>
      <c r="Q62" s="42">
        <f>H62*L62</f>
        <v/>
      </c>
      <c r="R62" s="43">
        <f>Q62-P62</f>
        <v/>
      </c>
      <c r="S62" s="44">
        <f>E62-D62</f>
        <v/>
      </c>
      <c r="T62" s="44">
        <f>IF(G62="","",G62-E62)</f>
        <v/>
      </c>
      <c r="U62" s="44">
        <f>IF(G62="","",IF(G62&lt;=F62,1,0))</f>
        <v/>
      </c>
      <c r="V62" s="45">
        <f>DATE(YEAR(E62),MONTH(E62),1)</f>
        <v/>
      </c>
    </row>
    <row r="63">
      <c r="A63" s="36" t="inlineStr">
        <is>
          <t>PO-26062</t>
        </is>
      </c>
      <c r="B63" s="36" t="inlineStr">
        <is>
          <t>Nordline Industrial</t>
        </is>
      </c>
      <c r="C63" s="36" t="inlineStr">
        <is>
          <t>MRO</t>
        </is>
      </c>
      <c r="D63" s="39" t="n">
        <v>46063</v>
      </c>
      <c r="E63" s="39" t="n">
        <v>46071</v>
      </c>
      <c r="F63" s="39" t="n">
        <v>46086</v>
      </c>
      <c r="G63" s="39" t="n">
        <v>46086</v>
      </c>
      <c r="H63" s="40" t="n">
        <v>55</v>
      </c>
      <c r="I63" s="40" t="n">
        <v>55</v>
      </c>
      <c r="J63" s="40" t="n">
        <v>0</v>
      </c>
      <c r="K63" s="41" t="n">
        <v>95.31</v>
      </c>
      <c r="L63" s="41" t="n">
        <v>102.7</v>
      </c>
      <c r="M63" s="36" t="inlineStr">
        <is>
          <t>Y</t>
        </is>
      </c>
      <c r="N63" s="36" t="inlineStr">
        <is>
          <t>Y</t>
        </is>
      </c>
      <c r="O63" s="36" t="inlineStr">
        <is>
          <t>N</t>
        </is>
      </c>
      <c r="P63" s="42">
        <f>H63*K63</f>
        <v/>
      </c>
      <c r="Q63" s="42">
        <f>H63*L63</f>
        <v/>
      </c>
      <c r="R63" s="43">
        <f>Q63-P63</f>
        <v/>
      </c>
      <c r="S63" s="44">
        <f>E63-D63</f>
        <v/>
      </c>
      <c r="T63" s="44">
        <f>IF(G63="","",G63-E63)</f>
        <v/>
      </c>
      <c r="U63" s="44">
        <f>IF(G63="","",IF(G63&lt;=F63,1,0))</f>
        <v/>
      </c>
      <c r="V63" s="45">
        <f>DATE(YEAR(E63),MONTH(E63),1)</f>
        <v/>
      </c>
    </row>
    <row r="64">
      <c r="A64" s="36" t="inlineStr">
        <is>
          <t>PO-26063</t>
        </is>
      </c>
      <c r="B64" s="36" t="inlineStr">
        <is>
          <t>Nordline Industrial</t>
        </is>
      </c>
      <c r="C64" s="36" t="inlineStr">
        <is>
          <t>MRO</t>
        </is>
      </c>
      <c r="D64" s="39" t="n">
        <v>46071</v>
      </c>
      <c r="E64" s="39" t="n">
        <v>46072</v>
      </c>
      <c r="F64" s="39" t="n">
        <v>46092</v>
      </c>
      <c r="G64" s="39" t="n">
        <v>46091</v>
      </c>
      <c r="H64" s="40" t="n">
        <v>39</v>
      </c>
      <c r="I64" s="40" t="n">
        <v>39</v>
      </c>
      <c r="J64" s="40" t="n">
        <v>1</v>
      </c>
      <c r="K64" s="41" t="n">
        <v>25.82</v>
      </c>
      <c r="L64" s="41" t="n">
        <v>26.22</v>
      </c>
      <c r="M64" s="36" t="inlineStr">
        <is>
          <t>Y</t>
        </is>
      </c>
      <c r="N64" s="36" t="inlineStr">
        <is>
          <t>Y</t>
        </is>
      </c>
      <c r="O64" s="36" t="inlineStr">
        <is>
          <t>N</t>
        </is>
      </c>
      <c r="P64" s="42">
        <f>H64*K64</f>
        <v/>
      </c>
      <c r="Q64" s="42">
        <f>H64*L64</f>
        <v/>
      </c>
      <c r="R64" s="43">
        <f>Q64-P64</f>
        <v/>
      </c>
      <c r="S64" s="44">
        <f>E64-D64</f>
        <v/>
      </c>
      <c r="T64" s="44">
        <f>IF(G64="","",G64-E64)</f>
        <v/>
      </c>
      <c r="U64" s="44">
        <f>IF(G64="","",IF(G64&lt;=F64,1,0))</f>
        <v/>
      </c>
      <c r="V64" s="45">
        <f>DATE(YEAR(E64),MONTH(E64),1)</f>
        <v/>
      </c>
    </row>
    <row r="65">
      <c r="A65" s="36" t="inlineStr">
        <is>
          <t>PO-26064</t>
        </is>
      </c>
      <c r="B65" s="36" t="inlineStr">
        <is>
          <t>Adria Packaging</t>
        </is>
      </c>
      <c r="C65" s="36" t="inlineStr">
        <is>
          <t>Packaging</t>
        </is>
      </c>
      <c r="D65" s="39" t="n">
        <v>46071</v>
      </c>
      <c r="E65" s="39" t="n">
        <v>46076</v>
      </c>
      <c r="F65" s="39" t="n">
        <v>46085</v>
      </c>
      <c r="G65" s="39" t="n">
        <v>46083</v>
      </c>
      <c r="H65" s="40" t="n">
        <v>2965</v>
      </c>
      <c r="I65" s="40" t="n">
        <v>2965</v>
      </c>
      <c r="J65" s="40" t="n">
        <v>4</v>
      </c>
      <c r="K65" s="41" t="n">
        <v>2.81</v>
      </c>
      <c r="L65" s="41" t="n">
        <v>2.91</v>
      </c>
      <c r="M65" s="36" t="inlineStr">
        <is>
          <t>Y</t>
        </is>
      </c>
      <c r="N65" s="36" t="inlineStr">
        <is>
          <t>Y</t>
        </is>
      </c>
      <c r="O65" s="36" t="inlineStr">
        <is>
          <t>N</t>
        </is>
      </c>
      <c r="P65" s="42">
        <f>H65*K65</f>
        <v/>
      </c>
      <c r="Q65" s="42">
        <f>H65*L65</f>
        <v/>
      </c>
      <c r="R65" s="43">
        <f>Q65-P65</f>
        <v/>
      </c>
      <c r="S65" s="44">
        <f>E65-D65</f>
        <v/>
      </c>
      <c r="T65" s="44">
        <f>IF(G65="","",G65-E65)</f>
        <v/>
      </c>
      <c r="U65" s="44">
        <f>IF(G65="","",IF(G65&lt;=F65,1,0))</f>
        <v/>
      </c>
      <c r="V65" s="45">
        <f>DATE(YEAR(E65),MONTH(E65),1)</f>
        <v/>
      </c>
    </row>
    <row r="66">
      <c r="A66" s="36" t="inlineStr">
        <is>
          <t>PO-26065</t>
        </is>
      </c>
      <c r="B66" s="36" t="inlineStr">
        <is>
          <t>Adria Packaging</t>
        </is>
      </c>
      <c r="C66" s="36" t="inlineStr">
        <is>
          <t>Packaging</t>
        </is>
      </c>
      <c r="D66" s="39" t="n">
        <v>46074</v>
      </c>
      <c r="E66" s="39" t="n">
        <v>46077</v>
      </c>
      <c r="F66" s="39" t="n">
        <v>46093</v>
      </c>
      <c r="G66" s="39" t="n">
        <v>46091</v>
      </c>
      <c r="H66" s="40" t="n">
        <v>8059</v>
      </c>
      <c r="I66" s="40" t="n">
        <v>8059</v>
      </c>
      <c r="J66" s="40" t="n">
        <v>3</v>
      </c>
      <c r="K66" s="41" t="n">
        <v>0.93</v>
      </c>
      <c r="L66" s="41" t="n">
        <v>0.96</v>
      </c>
      <c r="M66" s="36" t="inlineStr">
        <is>
          <t>Y</t>
        </is>
      </c>
      <c r="N66" s="36" t="inlineStr">
        <is>
          <t>Y</t>
        </is>
      </c>
      <c r="O66" s="36" t="inlineStr">
        <is>
          <t>N</t>
        </is>
      </c>
      <c r="P66" s="42">
        <f>H66*K66</f>
        <v/>
      </c>
      <c r="Q66" s="42">
        <f>H66*L66</f>
        <v/>
      </c>
      <c r="R66" s="43">
        <f>Q66-P66</f>
        <v/>
      </c>
      <c r="S66" s="44">
        <f>E66-D66</f>
        <v/>
      </c>
      <c r="T66" s="44">
        <f>IF(G66="","",G66-E66)</f>
        <v/>
      </c>
      <c r="U66" s="44">
        <f>IF(G66="","",IF(G66&lt;=F66,1,0))</f>
        <v/>
      </c>
      <c r="V66" s="45">
        <f>DATE(YEAR(E66),MONTH(E66),1)</f>
        <v/>
      </c>
    </row>
    <row r="67">
      <c r="A67" s="36" t="inlineStr">
        <is>
          <t>PO-26066</t>
        </is>
      </c>
      <c r="B67" s="36" t="inlineStr">
        <is>
          <t>Kestrel Office Supply</t>
        </is>
      </c>
      <c r="C67" s="36" t="inlineStr">
        <is>
          <t>Office</t>
        </is>
      </c>
      <c r="D67" s="39" t="n">
        <v>46076</v>
      </c>
      <c r="E67" s="39" t="n">
        <v>46078</v>
      </c>
      <c r="F67" s="39" t="n">
        <v>46091</v>
      </c>
      <c r="G67" s="39" t="n">
        <v>46089</v>
      </c>
      <c r="H67" s="40" t="n">
        <v>182</v>
      </c>
      <c r="I67" s="40" t="n">
        <v>182</v>
      </c>
      <c r="J67" s="40" t="n">
        <v>1</v>
      </c>
      <c r="K67" s="41" t="n">
        <v>13.53</v>
      </c>
      <c r="L67" s="41" t="n">
        <v>14.74</v>
      </c>
      <c r="M67" s="36" t="inlineStr">
        <is>
          <t>Y</t>
        </is>
      </c>
      <c r="N67" s="36" t="inlineStr">
        <is>
          <t>Y</t>
        </is>
      </c>
      <c r="O67" s="36" t="inlineStr">
        <is>
          <t>N</t>
        </is>
      </c>
      <c r="P67" s="42">
        <f>H67*K67</f>
        <v/>
      </c>
      <c r="Q67" s="42">
        <f>H67*L67</f>
        <v/>
      </c>
      <c r="R67" s="43">
        <f>Q67-P67</f>
        <v/>
      </c>
      <c r="S67" s="44">
        <f>E67-D67</f>
        <v/>
      </c>
      <c r="T67" s="44">
        <f>IF(G67="","",G67-E67)</f>
        <v/>
      </c>
      <c r="U67" s="44">
        <f>IF(G67="","",IF(G67&lt;=F67,1,0))</f>
        <v/>
      </c>
      <c r="V67" s="45">
        <f>DATE(YEAR(E67),MONTH(E67),1)</f>
        <v/>
      </c>
    </row>
    <row r="68">
      <c r="A68" s="36" t="inlineStr">
        <is>
          <t>PO-26067</t>
        </is>
      </c>
      <c r="B68" s="36" t="inlineStr">
        <is>
          <t>Nordline Industrial</t>
        </is>
      </c>
      <c r="C68" s="36" t="inlineStr">
        <is>
          <t>MRO</t>
        </is>
      </c>
      <c r="D68" s="39" t="n">
        <v>46075</v>
      </c>
      <c r="E68" s="39" t="n">
        <v>46083</v>
      </c>
      <c r="F68" s="39" t="n">
        <v>46103</v>
      </c>
      <c r="G68" s="39" t="n">
        <v>46102</v>
      </c>
      <c r="H68" s="40" t="n">
        <v>29</v>
      </c>
      <c r="I68" s="40" t="n">
        <v>29</v>
      </c>
      <c r="J68" s="40" t="n">
        <v>0</v>
      </c>
      <c r="K68" s="41" t="n">
        <v>68.44</v>
      </c>
      <c r="L68" s="41" t="n">
        <v>71.91</v>
      </c>
      <c r="M68" s="36" t="inlineStr">
        <is>
          <t>Y</t>
        </is>
      </c>
      <c r="N68" s="36" t="inlineStr">
        <is>
          <t>Y</t>
        </is>
      </c>
      <c r="O68" s="36" t="inlineStr">
        <is>
          <t>N</t>
        </is>
      </c>
      <c r="P68" s="42">
        <f>H68*K68</f>
        <v/>
      </c>
      <c r="Q68" s="42">
        <f>H68*L68</f>
        <v/>
      </c>
      <c r="R68" s="43">
        <f>Q68-P68</f>
        <v/>
      </c>
      <c r="S68" s="44">
        <f>E68-D68</f>
        <v/>
      </c>
      <c r="T68" s="44">
        <f>IF(G68="","",G68-E68)</f>
        <v/>
      </c>
      <c r="U68" s="44">
        <f>IF(G68="","",IF(G68&lt;=F68,1,0))</f>
        <v/>
      </c>
      <c r="V68" s="45">
        <f>DATE(YEAR(E68),MONTH(E68),1)</f>
        <v/>
      </c>
    </row>
    <row r="69">
      <c r="A69" s="36" t="inlineStr">
        <is>
          <t>PO-26068</t>
        </is>
      </c>
      <c r="B69" s="36" t="inlineStr">
        <is>
          <t>Nordline Industrial</t>
        </is>
      </c>
      <c r="C69" s="36" t="inlineStr">
        <is>
          <t>MRO</t>
        </is>
      </c>
      <c r="D69" s="39" t="n">
        <v>46079</v>
      </c>
      <c r="E69" s="39" t="n">
        <v>46085</v>
      </c>
      <c r="F69" s="39" t="n">
        <v>46098</v>
      </c>
      <c r="G69" s="39" t="n">
        <v>46096</v>
      </c>
      <c r="H69" s="40" t="n">
        <v>30</v>
      </c>
      <c r="I69" s="40" t="n">
        <v>30</v>
      </c>
      <c r="J69" s="40" t="n">
        <v>0</v>
      </c>
      <c r="K69" s="41" t="n">
        <v>57.83</v>
      </c>
      <c r="L69" s="41" t="n">
        <v>63.37</v>
      </c>
      <c r="M69" s="36" t="inlineStr">
        <is>
          <t>Y</t>
        </is>
      </c>
      <c r="N69" s="36" t="inlineStr">
        <is>
          <t>Y</t>
        </is>
      </c>
      <c r="O69" s="36" t="inlineStr">
        <is>
          <t>N</t>
        </is>
      </c>
      <c r="P69" s="42">
        <f>H69*K69</f>
        <v/>
      </c>
      <c r="Q69" s="42">
        <f>H69*L69</f>
        <v/>
      </c>
      <c r="R69" s="43">
        <f>Q69-P69</f>
        <v/>
      </c>
      <c r="S69" s="44">
        <f>E69-D69</f>
        <v/>
      </c>
      <c r="T69" s="44">
        <f>IF(G69="","",G69-E69)</f>
        <v/>
      </c>
      <c r="U69" s="44">
        <f>IF(G69="","",IF(G69&lt;=F69,1,0))</f>
        <v/>
      </c>
      <c r="V69" s="45">
        <f>DATE(YEAR(E69),MONTH(E69),1)</f>
        <v/>
      </c>
    </row>
    <row r="70">
      <c r="A70" s="36" t="inlineStr">
        <is>
          <t>PO-26069</t>
        </is>
      </c>
      <c r="B70" s="36" t="inlineStr">
        <is>
          <t>Bluewave Logistics</t>
        </is>
      </c>
      <c r="C70" s="36" t="inlineStr">
        <is>
          <t>Logistics</t>
        </is>
      </c>
      <c r="D70" s="39" t="n">
        <v>46080</v>
      </c>
      <c r="E70" s="39" t="n">
        <v>46086</v>
      </c>
      <c r="F70" s="39" t="n">
        <v>46094</v>
      </c>
      <c r="G70" s="39" t="n">
        <v>46092</v>
      </c>
      <c r="H70" s="40" t="n">
        <v>1</v>
      </c>
      <c r="I70" s="40" t="n">
        <v>1</v>
      </c>
      <c r="J70" s="40" t="n">
        <v>0</v>
      </c>
      <c r="K70" s="41" t="n">
        <v>572.78</v>
      </c>
      <c r="L70" s="41" t="n">
        <v>613.96</v>
      </c>
      <c r="M70" s="36" t="inlineStr">
        <is>
          <t>Y</t>
        </is>
      </c>
      <c r="N70" s="36" t="inlineStr">
        <is>
          <t>Y</t>
        </is>
      </c>
      <c r="O70" s="36" t="inlineStr">
        <is>
          <t>N</t>
        </is>
      </c>
      <c r="P70" s="42">
        <f>H70*K70</f>
        <v/>
      </c>
      <c r="Q70" s="42">
        <f>H70*L70</f>
        <v/>
      </c>
      <c r="R70" s="43">
        <f>Q70-P70</f>
        <v/>
      </c>
      <c r="S70" s="44">
        <f>E70-D70</f>
        <v/>
      </c>
      <c r="T70" s="44">
        <f>IF(G70="","",G70-E70)</f>
        <v/>
      </c>
      <c r="U70" s="44">
        <f>IF(G70="","",IF(G70&lt;=F70,1,0))</f>
        <v/>
      </c>
      <c r="V70" s="45">
        <f>DATE(YEAR(E70),MONTH(E70),1)</f>
        <v/>
      </c>
    </row>
    <row r="71">
      <c r="A71" s="36" t="inlineStr">
        <is>
          <t>PO-26070</t>
        </is>
      </c>
      <c r="B71" s="36" t="inlineStr">
        <is>
          <t>Kestrel Office Supply</t>
        </is>
      </c>
      <c r="C71" s="36" t="inlineStr">
        <is>
          <t>IT</t>
        </is>
      </c>
      <c r="D71" s="39" t="n">
        <v>46079</v>
      </c>
      <c r="E71" s="39" t="n">
        <v>46088</v>
      </c>
      <c r="F71" s="39" t="n">
        <v>46103</v>
      </c>
      <c r="G71" s="39" t="n">
        <v>46102</v>
      </c>
      <c r="H71" s="40" t="n">
        <v>17</v>
      </c>
      <c r="I71" s="40" t="n">
        <v>17</v>
      </c>
      <c r="J71" s="40" t="n">
        <v>0</v>
      </c>
      <c r="K71" s="41" t="n">
        <v>661.38</v>
      </c>
      <c r="L71" s="41" t="n">
        <v>716.13</v>
      </c>
      <c r="M71" s="36" t="inlineStr">
        <is>
          <t>Y</t>
        </is>
      </c>
      <c r="N71" s="36" t="inlineStr">
        <is>
          <t>Y</t>
        </is>
      </c>
      <c r="O71" s="36" t="inlineStr">
        <is>
          <t>N</t>
        </is>
      </c>
      <c r="P71" s="42">
        <f>H71*K71</f>
        <v/>
      </c>
      <c r="Q71" s="42">
        <f>H71*L71</f>
        <v/>
      </c>
      <c r="R71" s="43">
        <f>Q71-P71</f>
        <v/>
      </c>
      <c r="S71" s="44">
        <f>E71-D71</f>
        <v/>
      </c>
      <c r="T71" s="44">
        <f>IF(G71="","",G71-E71)</f>
        <v/>
      </c>
      <c r="U71" s="44">
        <f>IF(G71="","",IF(G71&lt;=F71,1,0))</f>
        <v/>
      </c>
      <c r="V71" s="45">
        <f>DATE(YEAR(E71),MONTH(E71),1)</f>
        <v/>
      </c>
    </row>
    <row r="72">
      <c r="A72" s="36" t="inlineStr">
        <is>
          <t>PO-26071</t>
        </is>
      </c>
      <c r="B72" s="36" t="inlineStr">
        <is>
          <t>Danubia Chemicals</t>
        </is>
      </c>
      <c r="C72" s="36" t="inlineStr">
        <is>
          <t>Raw Materials</t>
        </is>
      </c>
      <c r="D72" s="39" t="n">
        <v>46085</v>
      </c>
      <c r="E72" s="39" t="n">
        <v>46091</v>
      </c>
      <c r="F72" s="39" t="n">
        <v>46105</v>
      </c>
      <c r="G72" s="39" t="n">
        <v>46104</v>
      </c>
      <c r="H72" s="40" t="n">
        <v>1894</v>
      </c>
      <c r="I72" s="40" t="n">
        <v>1894</v>
      </c>
      <c r="J72" s="40" t="n">
        <v>11</v>
      </c>
      <c r="K72" s="41" t="n">
        <v>17.85</v>
      </c>
      <c r="L72" s="41" t="n">
        <v>18.49</v>
      </c>
      <c r="M72" s="36" t="inlineStr">
        <is>
          <t>Y</t>
        </is>
      </c>
      <c r="N72" s="36" t="inlineStr">
        <is>
          <t>Y</t>
        </is>
      </c>
      <c r="O72" s="36" t="inlineStr">
        <is>
          <t>N</t>
        </is>
      </c>
      <c r="P72" s="42">
        <f>H72*K72</f>
        <v/>
      </c>
      <c r="Q72" s="42">
        <f>H72*L72</f>
        <v/>
      </c>
      <c r="R72" s="43">
        <f>Q72-P72</f>
        <v/>
      </c>
      <c r="S72" s="44">
        <f>E72-D72</f>
        <v/>
      </c>
      <c r="T72" s="44">
        <f>IF(G72="","",G72-E72)</f>
        <v/>
      </c>
      <c r="U72" s="44">
        <f>IF(G72="","",IF(G72&lt;=F72,1,0))</f>
        <v/>
      </c>
      <c r="V72" s="45">
        <f>DATE(YEAR(E72),MONTH(E72),1)</f>
        <v/>
      </c>
    </row>
    <row r="73">
      <c r="A73" s="36" t="inlineStr">
        <is>
          <t>PO-26072</t>
        </is>
      </c>
      <c r="B73" s="36" t="inlineStr">
        <is>
          <t>Danubia Chemicals</t>
        </is>
      </c>
      <c r="C73" s="36" t="inlineStr">
        <is>
          <t>Raw Materials</t>
        </is>
      </c>
      <c r="D73" s="39" t="n">
        <v>46090</v>
      </c>
      <c r="E73" s="39" t="n">
        <v>46093</v>
      </c>
      <c r="F73" s="39" t="n">
        <v>46104</v>
      </c>
      <c r="G73" s="39" t="n">
        <v>46109</v>
      </c>
      <c r="H73" s="40" t="n">
        <v>353</v>
      </c>
      <c r="I73" s="40" t="n">
        <v>353</v>
      </c>
      <c r="J73" s="40" t="n">
        <v>15</v>
      </c>
      <c r="K73" s="41" t="n">
        <v>32.86</v>
      </c>
      <c r="L73" s="41" t="n">
        <v>36.42</v>
      </c>
      <c r="M73" s="36" t="inlineStr">
        <is>
          <t>Y</t>
        </is>
      </c>
      <c r="N73" s="36" t="inlineStr">
        <is>
          <t>Y</t>
        </is>
      </c>
      <c r="O73" s="36" t="inlineStr">
        <is>
          <t>N</t>
        </is>
      </c>
      <c r="P73" s="42">
        <f>H73*K73</f>
        <v/>
      </c>
      <c r="Q73" s="42">
        <f>H73*L73</f>
        <v/>
      </c>
      <c r="R73" s="43">
        <f>Q73-P73</f>
        <v/>
      </c>
      <c r="S73" s="44">
        <f>E73-D73</f>
        <v/>
      </c>
      <c r="T73" s="44">
        <f>IF(G73="","",G73-E73)</f>
        <v/>
      </c>
      <c r="U73" s="44">
        <f>IF(G73="","",IF(G73&lt;=F73,1,0))</f>
        <v/>
      </c>
      <c r="V73" s="45">
        <f>DATE(YEAR(E73),MONTH(E73),1)</f>
        <v/>
      </c>
    </row>
    <row r="74">
      <c r="A74" s="36" t="inlineStr">
        <is>
          <t>PO-26073</t>
        </is>
      </c>
      <c r="B74" s="36" t="inlineStr">
        <is>
          <t>Nordline Industrial</t>
        </is>
      </c>
      <c r="C74" s="36" t="inlineStr">
        <is>
          <t>MRO</t>
        </is>
      </c>
      <c r="D74" s="39" t="n">
        <v>46095</v>
      </c>
      <c r="E74" s="39" t="n">
        <v>46095</v>
      </c>
      <c r="F74" s="39" t="n">
        <v>46097</v>
      </c>
      <c r="G74" s="39" t="n">
        <v>46097</v>
      </c>
      <c r="H74" s="40" t="n">
        <v>58</v>
      </c>
      <c r="I74" s="40" t="n">
        <v>58</v>
      </c>
      <c r="J74" s="40" t="n">
        <v>2</v>
      </c>
      <c r="K74" s="41" t="n">
        <v>30.06</v>
      </c>
      <c r="L74" s="41" t="n">
        <v>26.86</v>
      </c>
      <c r="M74" s="36" t="inlineStr">
        <is>
          <t>N</t>
        </is>
      </c>
      <c r="N74" s="36" t="inlineStr">
        <is>
          <t>Y</t>
        </is>
      </c>
      <c r="O74" s="36" t="inlineStr">
        <is>
          <t>Y</t>
        </is>
      </c>
      <c r="P74" s="42">
        <f>H74*K74</f>
        <v/>
      </c>
      <c r="Q74" s="42">
        <f>H74*L74</f>
        <v/>
      </c>
      <c r="R74" s="43">
        <f>Q74-P74</f>
        <v/>
      </c>
      <c r="S74" s="44">
        <f>E74-D74</f>
        <v/>
      </c>
      <c r="T74" s="44">
        <f>IF(G74="","",G74-E74)</f>
        <v/>
      </c>
      <c r="U74" s="44">
        <f>IF(G74="","",IF(G74&lt;=F74,1,0))</f>
        <v/>
      </c>
      <c r="V74" s="45">
        <f>DATE(YEAR(E74),MONTH(E74),1)</f>
        <v/>
      </c>
    </row>
    <row r="75">
      <c r="A75" s="36" t="inlineStr">
        <is>
          <t>PO-26074</t>
        </is>
      </c>
      <c r="B75" s="36" t="inlineStr">
        <is>
          <t>Bluewave Logistics</t>
        </is>
      </c>
      <c r="C75" s="36" t="inlineStr">
        <is>
          <t>Logistics</t>
        </is>
      </c>
      <c r="D75" s="39" t="n">
        <v>46094</v>
      </c>
      <c r="E75" s="39" t="n">
        <v>46099</v>
      </c>
      <c r="F75" s="39" t="n">
        <v>46117</v>
      </c>
      <c r="G75" s="39" t="n">
        <v>46115</v>
      </c>
      <c r="H75" s="40" t="n">
        <v>2</v>
      </c>
      <c r="I75" s="40" t="n">
        <v>2</v>
      </c>
      <c r="J75" s="40" t="n">
        <v>0</v>
      </c>
      <c r="K75" s="41" t="n">
        <v>677.99</v>
      </c>
      <c r="L75" s="41" t="n">
        <v>704.27</v>
      </c>
      <c r="M75" s="36" t="inlineStr">
        <is>
          <t>Y</t>
        </is>
      </c>
      <c r="N75" s="36" t="inlineStr">
        <is>
          <t>Y</t>
        </is>
      </c>
      <c r="O75" s="36" t="inlineStr">
        <is>
          <t>N</t>
        </is>
      </c>
      <c r="P75" s="42">
        <f>H75*K75</f>
        <v/>
      </c>
      <c r="Q75" s="42">
        <f>H75*L75</f>
        <v/>
      </c>
      <c r="R75" s="43">
        <f>Q75-P75</f>
        <v/>
      </c>
      <c r="S75" s="44">
        <f>E75-D75</f>
        <v/>
      </c>
      <c r="T75" s="44">
        <f>IF(G75="","",G75-E75)</f>
        <v/>
      </c>
      <c r="U75" s="44">
        <f>IF(G75="","",IF(G75&lt;=F75,1,0))</f>
        <v/>
      </c>
      <c r="V75" s="45">
        <f>DATE(YEAR(E75),MONTH(E75),1)</f>
        <v/>
      </c>
    </row>
    <row r="76">
      <c r="A76" s="36" t="inlineStr">
        <is>
          <t>PO-26075</t>
        </is>
      </c>
      <c r="B76" s="36" t="inlineStr">
        <is>
          <t>Nordline Industrial</t>
        </is>
      </c>
      <c r="C76" s="36" t="inlineStr">
        <is>
          <t>Raw Materials</t>
        </is>
      </c>
      <c r="D76" s="39" t="n">
        <v>46099</v>
      </c>
      <c r="E76" s="39" t="n">
        <v>46101</v>
      </c>
      <c r="F76" s="39" t="n">
        <v>46116</v>
      </c>
      <c r="G76" s="39" t="n">
        <v>46115</v>
      </c>
      <c r="H76" s="40" t="n">
        <v>842</v>
      </c>
      <c r="I76" s="40" t="n">
        <v>842</v>
      </c>
      <c r="J76" s="40" t="n">
        <v>8</v>
      </c>
      <c r="K76" s="41" t="n">
        <v>30.72</v>
      </c>
      <c r="L76" s="41" t="n">
        <v>33.71</v>
      </c>
      <c r="M76" s="36" t="inlineStr">
        <is>
          <t>Y</t>
        </is>
      </c>
      <c r="N76" s="36" t="inlineStr">
        <is>
          <t>Y</t>
        </is>
      </c>
      <c r="O76" s="36" t="inlineStr">
        <is>
          <t>N</t>
        </is>
      </c>
      <c r="P76" s="42">
        <f>H76*K76</f>
        <v/>
      </c>
      <c r="Q76" s="42">
        <f>H76*L76</f>
        <v/>
      </c>
      <c r="R76" s="43">
        <f>Q76-P76</f>
        <v/>
      </c>
      <c r="S76" s="44">
        <f>E76-D76</f>
        <v/>
      </c>
      <c r="T76" s="44">
        <f>IF(G76="","",G76-E76)</f>
        <v/>
      </c>
      <c r="U76" s="44">
        <f>IF(G76="","",IF(G76&lt;=F76,1,0))</f>
        <v/>
      </c>
      <c r="V76" s="45">
        <f>DATE(YEAR(E76),MONTH(E76),1)</f>
        <v/>
      </c>
    </row>
    <row r="77">
      <c r="A77" s="36" t="inlineStr">
        <is>
          <t>PO-26076</t>
        </is>
      </c>
      <c r="B77" s="36" t="inlineStr">
        <is>
          <t>Kestrel Office Supply</t>
        </is>
      </c>
      <c r="C77" s="36" t="inlineStr">
        <is>
          <t>IT</t>
        </is>
      </c>
      <c r="D77" s="39" t="n">
        <v>46093</v>
      </c>
      <c r="E77" s="39" t="n">
        <v>46101</v>
      </c>
      <c r="F77" s="39" t="n">
        <v>46106</v>
      </c>
      <c r="G77" s="39" t="n">
        <v>46104</v>
      </c>
      <c r="H77" s="40" t="n">
        <v>15</v>
      </c>
      <c r="I77" s="40" t="n">
        <v>15</v>
      </c>
      <c r="J77" s="40" t="n">
        <v>0</v>
      </c>
      <c r="K77" s="41" t="n">
        <v>518.79</v>
      </c>
      <c r="L77" s="41" t="n">
        <v>542</v>
      </c>
      <c r="M77" s="36" t="inlineStr">
        <is>
          <t>Y</t>
        </is>
      </c>
      <c r="N77" s="36" t="inlineStr">
        <is>
          <t>Y</t>
        </is>
      </c>
      <c r="O77" s="36" t="inlineStr">
        <is>
          <t>N</t>
        </is>
      </c>
      <c r="P77" s="42">
        <f>H77*K77</f>
        <v/>
      </c>
      <c r="Q77" s="42">
        <f>H77*L77</f>
        <v/>
      </c>
      <c r="R77" s="43">
        <f>Q77-P77</f>
        <v/>
      </c>
      <c r="S77" s="44">
        <f>E77-D77</f>
        <v/>
      </c>
      <c r="T77" s="44">
        <f>IF(G77="","",G77-E77)</f>
        <v/>
      </c>
      <c r="U77" s="44">
        <f>IF(G77="","",IF(G77&lt;=F77,1,0))</f>
        <v/>
      </c>
      <c r="V77" s="45">
        <f>DATE(YEAR(E77),MONTH(E77),1)</f>
        <v/>
      </c>
    </row>
    <row r="78">
      <c r="A78" s="36" t="inlineStr">
        <is>
          <t>PO-26077</t>
        </is>
      </c>
      <c r="B78" s="36" t="inlineStr">
        <is>
          <t>Bluewave Logistics</t>
        </is>
      </c>
      <c r="C78" s="36" t="inlineStr">
        <is>
          <t>Logistics</t>
        </is>
      </c>
      <c r="D78" s="39" t="n">
        <v>46097</v>
      </c>
      <c r="E78" s="39" t="n">
        <v>46103</v>
      </c>
      <c r="F78" s="39" t="n">
        <v>46122</v>
      </c>
      <c r="G78" s="39" t="n">
        <v>46120</v>
      </c>
      <c r="H78" s="40" t="n">
        <v>2</v>
      </c>
      <c r="I78" s="40" t="n">
        <v>2</v>
      </c>
      <c r="J78" s="40" t="n">
        <v>0</v>
      </c>
      <c r="K78" s="41" t="n">
        <v>450.9</v>
      </c>
      <c r="L78" s="41" t="n">
        <v>497.09</v>
      </c>
      <c r="M78" s="36" t="inlineStr">
        <is>
          <t>Y</t>
        </is>
      </c>
      <c r="N78" s="36" t="inlineStr">
        <is>
          <t>Y</t>
        </is>
      </c>
      <c r="O78" s="36" t="inlineStr">
        <is>
          <t>N</t>
        </is>
      </c>
      <c r="P78" s="42">
        <f>H78*K78</f>
        <v/>
      </c>
      <c r="Q78" s="42">
        <f>H78*L78</f>
        <v/>
      </c>
      <c r="R78" s="43">
        <f>Q78-P78</f>
        <v/>
      </c>
      <c r="S78" s="44">
        <f>E78-D78</f>
        <v/>
      </c>
      <c r="T78" s="44">
        <f>IF(G78="","",G78-E78)</f>
        <v/>
      </c>
      <c r="U78" s="44">
        <f>IF(G78="","",IF(G78&lt;=F78,1,0))</f>
        <v/>
      </c>
      <c r="V78" s="45">
        <f>DATE(YEAR(E78),MONTH(E78),1)</f>
        <v/>
      </c>
    </row>
    <row r="79">
      <c r="A79" s="36" t="inlineStr">
        <is>
          <t>PO-26078</t>
        </is>
      </c>
      <c r="B79" s="36" t="inlineStr">
        <is>
          <t>Nordline Industrial</t>
        </is>
      </c>
      <c r="C79" s="36" t="inlineStr">
        <is>
          <t>Raw Materials</t>
        </is>
      </c>
      <c r="D79" s="39" t="n">
        <v>46098</v>
      </c>
      <c r="E79" s="39" t="n">
        <v>46106</v>
      </c>
      <c r="F79" s="39" t="n">
        <v>46122</v>
      </c>
      <c r="G79" s="39" t="n">
        <v>46121</v>
      </c>
      <c r="H79" s="40" t="n">
        <v>441</v>
      </c>
      <c r="I79" s="40" t="n">
        <v>441</v>
      </c>
      <c r="J79" s="40" t="n">
        <v>8</v>
      </c>
      <c r="K79" s="41" t="n">
        <v>21.91</v>
      </c>
      <c r="L79" s="41" t="n">
        <v>22.74</v>
      </c>
      <c r="M79" s="36" t="inlineStr">
        <is>
          <t>Y</t>
        </is>
      </c>
      <c r="N79" s="36" t="inlineStr">
        <is>
          <t>Y</t>
        </is>
      </c>
      <c r="O79" s="36" t="inlineStr">
        <is>
          <t>N</t>
        </is>
      </c>
      <c r="P79" s="42">
        <f>H79*K79</f>
        <v/>
      </c>
      <c r="Q79" s="42">
        <f>H79*L79</f>
        <v/>
      </c>
      <c r="R79" s="43">
        <f>Q79-P79</f>
        <v/>
      </c>
      <c r="S79" s="44">
        <f>E79-D79</f>
        <v/>
      </c>
      <c r="T79" s="44">
        <f>IF(G79="","",G79-E79)</f>
        <v/>
      </c>
      <c r="U79" s="44">
        <f>IF(G79="","",IF(G79&lt;=F79,1,0))</f>
        <v/>
      </c>
      <c r="V79" s="45">
        <f>DATE(YEAR(E79),MONTH(E79),1)</f>
        <v/>
      </c>
    </row>
    <row r="80">
      <c r="A80" s="36" t="inlineStr">
        <is>
          <t>PO-26079</t>
        </is>
      </c>
      <c r="B80" s="36" t="inlineStr">
        <is>
          <t>Adria Packaging</t>
        </is>
      </c>
      <c r="C80" s="36" t="inlineStr">
        <is>
          <t>Packaging</t>
        </is>
      </c>
      <c r="D80" s="39" t="n">
        <v>46105</v>
      </c>
      <c r="E80" s="39" t="n">
        <v>46108</v>
      </c>
      <c r="F80" s="39" t="n">
        <v>46113</v>
      </c>
      <c r="G80" s="39" t="n">
        <v>46113</v>
      </c>
      <c r="H80" s="40" t="n">
        <v>8496</v>
      </c>
      <c r="I80" s="40" t="n">
        <v>8496</v>
      </c>
      <c r="J80" s="40" t="n">
        <v>2</v>
      </c>
      <c r="K80" s="41" t="n">
        <v>1.23</v>
      </c>
      <c r="L80" s="41" t="n">
        <v>1.36</v>
      </c>
      <c r="M80" s="36" t="inlineStr">
        <is>
          <t>Y</t>
        </is>
      </c>
      <c r="N80" s="36" t="inlineStr">
        <is>
          <t>Y</t>
        </is>
      </c>
      <c r="O80" s="36" t="inlineStr">
        <is>
          <t>N</t>
        </is>
      </c>
      <c r="P80" s="42">
        <f>H80*K80</f>
        <v/>
      </c>
      <c r="Q80" s="42">
        <f>H80*L80</f>
        <v/>
      </c>
      <c r="R80" s="43">
        <f>Q80-P80</f>
        <v/>
      </c>
      <c r="S80" s="44">
        <f>E80-D80</f>
        <v/>
      </c>
      <c r="T80" s="44">
        <f>IF(G80="","",G80-E80)</f>
        <v/>
      </c>
      <c r="U80" s="44">
        <f>IF(G80="","",IF(G80&lt;=F80,1,0))</f>
        <v/>
      </c>
      <c r="V80" s="45">
        <f>DATE(YEAR(E80),MONTH(E80),1)</f>
        <v/>
      </c>
    </row>
    <row r="81">
      <c r="A81" s="36" t="inlineStr">
        <is>
          <t>PO-26080</t>
        </is>
      </c>
      <c r="B81" s="36" t="inlineStr">
        <is>
          <t>Adria Packaging</t>
        </is>
      </c>
      <c r="C81" s="36" t="inlineStr">
        <is>
          <t>Packaging</t>
        </is>
      </c>
      <c r="D81" s="39" t="n">
        <v>46108</v>
      </c>
      <c r="E81" s="39" t="n">
        <v>46110</v>
      </c>
      <c r="F81" s="39" t="n">
        <v>46121</v>
      </c>
      <c r="G81" s="39" t="n">
        <v>46119</v>
      </c>
      <c r="H81" s="40" t="n">
        <v>2422</v>
      </c>
      <c r="I81" s="40" t="n">
        <v>2422</v>
      </c>
      <c r="J81" s="40" t="n">
        <v>4</v>
      </c>
      <c r="K81" s="41" t="n">
        <v>1.53</v>
      </c>
      <c r="L81" s="41" t="n">
        <v>1.69</v>
      </c>
      <c r="M81" s="36" t="inlineStr">
        <is>
          <t>Y</t>
        </is>
      </c>
      <c r="N81" s="36" t="inlineStr">
        <is>
          <t>Y</t>
        </is>
      </c>
      <c r="O81" s="36" t="inlineStr">
        <is>
          <t>N</t>
        </is>
      </c>
      <c r="P81" s="42">
        <f>H81*K81</f>
        <v/>
      </c>
      <c r="Q81" s="42">
        <f>H81*L81</f>
        <v/>
      </c>
      <c r="R81" s="43">
        <f>Q81-P81</f>
        <v/>
      </c>
      <c r="S81" s="44">
        <f>E81-D81</f>
        <v/>
      </c>
      <c r="T81" s="44">
        <f>IF(G81="","",G81-E81)</f>
        <v/>
      </c>
      <c r="U81" s="44">
        <f>IF(G81="","",IF(G81&lt;=F81,1,0))</f>
        <v/>
      </c>
      <c r="V81" s="45">
        <f>DATE(YEAR(E81),MONTH(E81),1)</f>
        <v/>
      </c>
    </row>
    <row r="82">
      <c r="A82" s="36" t="inlineStr">
        <is>
          <t>PO-26081</t>
        </is>
      </c>
      <c r="B82" s="36" t="inlineStr">
        <is>
          <t>Kestrel Office Supply</t>
        </is>
      </c>
      <c r="C82" s="36" t="inlineStr">
        <is>
          <t>IT</t>
        </is>
      </c>
      <c r="D82" s="39" t="n">
        <v>46109</v>
      </c>
      <c r="E82" s="39" t="n">
        <v>46113</v>
      </c>
      <c r="F82" s="39" t="n">
        <v>46129</v>
      </c>
      <c r="G82" s="39" t="n">
        <v>46129</v>
      </c>
      <c r="H82" s="40" t="n">
        <v>11</v>
      </c>
      <c r="I82" s="40" t="n">
        <v>11</v>
      </c>
      <c r="J82" s="40" t="n">
        <v>0</v>
      </c>
      <c r="K82" s="41" t="n">
        <v>759.73</v>
      </c>
      <c r="L82" s="41" t="n">
        <v>811.1</v>
      </c>
      <c r="M82" s="36" t="inlineStr">
        <is>
          <t>Y</t>
        </is>
      </c>
      <c r="N82" s="36" t="inlineStr">
        <is>
          <t>Y</t>
        </is>
      </c>
      <c r="O82" s="36" t="inlineStr">
        <is>
          <t>N</t>
        </is>
      </c>
      <c r="P82" s="42">
        <f>H82*K82</f>
        <v/>
      </c>
      <c r="Q82" s="42">
        <f>H82*L82</f>
        <v/>
      </c>
      <c r="R82" s="43">
        <f>Q82-P82</f>
        <v/>
      </c>
      <c r="S82" s="44">
        <f>E82-D82</f>
        <v/>
      </c>
      <c r="T82" s="44">
        <f>IF(G82="","",G82-E82)</f>
        <v/>
      </c>
      <c r="U82" s="44">
        <f>IF(G82="","",IF(G82&lt;=F82,1,0))</f>
        <v/>
      </c>
      <c r="V82" s="45">
        <f>DATE(YEAR(E82),MONTH(E82),1)</f>
        <v/>
      </c>
    </row>
    <row r="83">
      <c r="A83" s="36" t="inlineStr">
        <is>
          <t>PO-26082</t>
        </is>
      </c>
      <c r="B83" s="36" t="inlineStr">
        <is>
          <t>Vektor Components</t>
        </is>
      </c>
      <c r="C83" s="36" t="inlineStr">
        <is>
          <t>MRO</t>
        </is>
      </c>
      <c r="D83" s="39" t="n">
        <v>46109</v>
      </c>
      <c r="E83" s="39" t="n">
        <v>46116</v>
      </c>
      <c r="F83" s="39" t="n">
        <v>46121</v>
      </c>
      <c r="G83" s="39" t="n">
        <v>46119</v>
      </c>
      <c r="H83" s="40" t="n">
        <v>25</v>
      </c>
      <c r="I83" s="40" t="n">
        <v>25</v>
      </c>
      <c r="J83" s="40" t="n">
        <v>0</v>
      </c>
      <c r="K83" s="41" t="n">
        <v>85.26000000000001</v>
      </c>
      <c r="L83" s="41" t="n">
        <v>89.63</v>
      </c>
      <c r="M83" s="36" t="inlineStr">
        <is>
          <t>Y</t>
        </is>
      </c>
      <c r="N83" s="36" t="inlineStr">
        <is>
          <t>Y</t>
        </is>
      </c>
      <c r="O83" s="36" t="inlineStr">
        <is>
          <t>N</t>
        </is>
      </c>
      <c r="P83" s="42">
        <f>H83*K83</f>
        <v/>
      </c>
      <c r="Q83" s="42">
        <f>H83*L83</f>
        <v/>
      </c>
      <c r="R83" s="43">
        <f>Q83-P83</f>
        <v/>
      </c>
      <c r="S83" s="44">
        <f>E83-D83</f>
        <v/>
      </c>
      <c r="T83" s="44">
        <f>IF(G83="","",G83-E83)</f>
        <v/>
      </c>
      <c r="U83" s="44">
        <f>IF(G83="","",IF(G83&lt;=F83,1,0))</f>
        <v/>
      </c>
      <c r="V83" s="45">
        <f>DATE(YEAR(E83),MONTH(E83),1)</f>
        <v/>
      </c>
    </row>
    <row r="84">
      <c r="A84" s="36" t="inlineStr">
        <is>
          <t>PO-26083</t>
        </is>
      </c>
      <c r="B84" s="36" t="inlineStr">
        <is>
          <t>Danubia Chemicals</t>
        </is>
      </c>
      <c r="C84" s="36" t="inlineStr">
        <is>
          <t>Raw Materials</t>
        </is>
      </c>
      <c r="D84" s="39" t="n">
        <v>46108</v>
      </c>
      <c r="E84" s="39" t="n">
        <v>46117</v>
      </c>
      <c r="F84" s="39" t="n">
        <v>46126</v>
      </c>
      <c r="G84" s="39" t="n">
        <v>46126</v>
      </c>
      <c r="H84" s="40" t="n">
        <v>219</v>
      </c>
      <c r="I84" s="40" t="n">
        <v>219</v>
      </c>
      <c r="J84" s="40" t="n">
        <v>7</v>
      </c>
      <c r="K84" s="41" t="n">
        <v>11.57</v>
      </c>
      <c r="L84" s="41" t="n">
        <v>12.36</v>
      </c>
      <c r="M84" s="36" t="inlineStr">
        <is>
          <t>Y</t>
        </is>
      </c>
      <c r="N84" s="36" t="inlineStr">
        <is>
          <t>Y</t>
        </is>
      </c>
      <c r="O84" s="36" t="inlineStr">
        <is>
          <t>N</t>
        </is>
      </c>
      <c r="P84" s="42">
        <f>H84*K84</f>
        <v/>
      </c>
      <c r="Q84" s="42">
        <f>H84*L84</f>
        <v/>
      </c>
      <c r="R84" s="43">
        <f>Q84-P84</f>
        <v/>
      </c>
      <c r="S84" s="44">
        <f>E84-D84</f>
        <v/>
      </c>
      <c r="T84" s="44">
        <f>IF(G84="","",G84-E84)</f>
        <v/>
      </c>
      <c r="U84" s="44">
        <f>IF(G84="","",IF(G84&lt;=F84,1,0))</f>
        <v/>
      </c>
      <c r="V84" s="45">
        <f>DATE(YEAR(E84),MONTH(E84),1)</f>
        <v/>
      </c>
    </row>
    <row r="85">
      <c r="A85" s="36" t="inlineStr">
        <is>
          <t>PO-26084</t>
        </is>
      </c>
      <c r="B85" s="36" t="inlineStr">
        <is>
          <t>Nordline Industrial</t>
        </is>
      </c>
      <c r="C85" s="36" t="inlineStr">
        <is>
          <t>Raw Materials</t>
        </is>
      </c>
      <c r="D85" s="39" t="n">
        <v>46118</v>
      </c>
      <c r="E85" s="39" t="n">
        <v>46121</v>
      </c>
      <c r="F85" s="39" t="n">
        <v>46127</v>
      </c>
      <c r="G85" s="39" t="n">
        <v>46127</v>
      </c>
      <c r="H85" s="40" t="n">
        <v>886</v>
      </c>
      <c r="I85" s="40" t="n">
        <v>886</v>
      </c>
      <c r="J85" s="40" t="n">
        <v>9</v>
      </c>
      <c r="K85" s="41" t="n">
        <v>26.37</v>
      </c>
      <c r="L85" s="41" t="n">
        <v>29.22</v>
      </c>
      <c r="M85" s="36" t="inlineStr">
        <is>
          <t>Y</t>
        </is>
      </c>
      <c r="N85" s="36" t="inlineStr">
        <is>
          <t>Y</t>
        </is>
      </c>
      <c r="O85" s="36" t="inlineStr">
        <is>
          <t>N</t>
        </is>
      </c>
      <c r="P85" s="42">
        <f>H85*K85</f>
        <v/>
      </c>
      <c r="Q85" s="42">
        <f>H85*L85</f>
        <v/>
      </c>
      <c r="R85" s="43">
        <f>Q85-P85</f>
        <v/>
      </c>
      <c r="S85" s="44">
        <f>E85-D85</f>
        <v/>
      </c>
      <c r="T85" s="44">
        <f>IF(G85="","",G85-E85)</f>
        <v/>
      </c>
      <c r="U85" s="44">
        <f>IF(G85="","",IF(G85&lt;=F85,1,0))</f>
        <v/>
      </c>
      <c r="V85" s="45">
        <f>DATE(YEAR(E85),MONTH(E85),1)</f>
        <v/>
      </c>
    </row>
    <row r="86">
      <c r="A86" s="36" t="inlineStr">
        <is>
          <t>PO-26085</t>
        </is>
      </c>
      <c r="B86" s="36" t="inlineStr">
        <is>
          <t>Bluewave Logistics</t>
        </is>
      </c>
      <c r="C86" s="36" t="inlineStr">
        <is>
          <t>Logistics</t>
        </is>
      </c>
      <c r="D86" s="39" t="n">
        <v>46119</v>
      </c>
      <c r="E86" s="39" t="n">
        <v>46123</v>
      </c>
      <c r="F86" s="39" t="n">
        <v>46135</v>
      </c>
      <c r="G86" s="39" t="n">
        <v>46134</v>
      </c>
      <c r="H86" s="40" t="n">
        <v>1</v>
      </c>
      <c r="I86" s="40" t="n">
        <v>1</v>
      </c>
      <c r="J86" s="40" t="n">
        <v>0</v>
      </c>
      <c r="K86" s="41" t="n">
        <v>849.84</v>
      </c>
      <c r="L86" s="41" t="n">
        <v>880.14</v>
      </c>
      <c r="M86" s="36" t="inlineStr">
        <is>
          <t>Y</t>
        </is>
      </c>
      <c r="N86" s="36" t="inlineStr">
        <is>
          <t>Y</t>
        </is>
      </c>
      <c r="O86" s="36" t="inlineStr">
        <is>
          <t>N</t>
        </is>
      </c>
      <c r="P86" s="42">
        <f>H86*K86</f>
        <v/>
      </c>
      <c r="Q86" s="42">
        <f>H86*L86</f>
        <v/>
      </c>
      <c r="R86" s="43">
        <f>Q86-P86</f>
        <v/>
      </c>
      <c r="S86" s="44">
        <f>E86-D86</f>
        <v/>
      </c>
      <c r="T86" s="44">
        <f>IF(G86="","",G86-E86)</f>
        <v/>
      </c>
      <c r="U86" s="44">
        <f>IF(G86="","",IF(G86&lt;=F86,1,0))</f>
        <v/>
      </c>
      <c r="V86" s="45">
        <f>DATE(YEAR(E86),MONTH(E86),1)</f>
        <v/>
      </c>
    </row>
    <row r="87">
      <c r="A87" s="36" t="inlineStr">
        <is>
          <t>PO-26086</t>
        </is>
      </c>
      <c r="B87" s="36" t="inlineStr">
        <is>
          <t>Bluewave Logistics</t>
        </is>
      </c>
      <c r="C87" s="36" t="inlineStr">
        <is>
          <t>Logistics</t>
        </is>
      </c>
      <c r="D87" s="39" t="n">
        <v>46117</v>
      </c>
      <c r="E87" s="39" t="n">
        <v>46124</v>
      </c>
      <c r="F87" s="39" t="n">
        <v>46133</v>
      </c>
      <c r="G87" s="39" t="n">
        <v>46133</v>
      </c>
      <c r="H87" s="40" t="n">
        <v>1</v>
      </c>
      <c r="I87" s="40" t="n">
        <v>1</v>
      </c>
      <c r="J87" s="40" t="n">
        <v>0</v>
      </c>
      <c r="K87" s="41" t="n">
        <v>786.84</v>
      </c>
      <c r="L87" s="41" t="n">
        <v>854.04</v>
      </c>
      <c r="M87" s="36" t="inlineStr">
        <is>
          <t>Y</t>
        </is>
      </c>
      <c r="N87" s="36" t="inlineStr">
        <is>
          <t>Y</t>
        </is>
      </c>
      <c r="O87" s="36" t="inlineStr">
        <is>
          <t>N</t>
        </is>
      </c>
      <c r="P87" s="42">
        <f>H87*K87</f>
        <v/>
      </c>
      <c r="Q87" s="42">
        <f>H87*L87</f>
        <v/>
      </c>
      <c r="R87" s="43">
        <f>Q87-P87</f>
        <v/>
      </c>
      <c r="S87" s="44">
        <f>E87-D87</f>
        <v/>
      </c>
      <c r="T87" s="44">
        <f>IF(G87="","",G87-E87)</f>
        <v/>
      </c>
      <c r="U87" s="44">
        <f>IF(G87="","",IF(G87&lt;=F87,1,0))</f>
        <v/>
      </c>
      <c r="V87" s="45">
        <f>DATE(YEAR(E87),MONTH(E87),1)</f>
        <v/>
      </c>
    </row>
    <row r="88">
      <c r="A88" s="36" t="inlineStr">
        <is>
          <t>PO-26087</t>
        </is>
      </c>
      <c r="B88" s="36" t="inlineStr">
        <is>
          <t>Bluewave Logistics</t>
        </is>
      </c>
      <c r="C88" s="36" t="inlineStr">
        <is>
          <t>Logistics</t>
        </is>
      </c>
      <c r="D88" s="39" t="n">
        <v>46122</v>
      </c>
      <c r="E88" s="39" t="n">
        <v>46127</v>
      </c>
      <c r="F88" s="39" t="n">
        <v>46139</v>
      </c>
      <c r="G88" s="39" t="n">
        <v>46137</v>
      </c>
      <c r="H88" s="40" t="n">
        <v>3</v>
      </c>
      <c r="I88" s="40" t="n">
        <v>3</v>
      </c>
      <c r="J88" s="40" t="n">
        <v>0</v>
      </c>
      <c r="K88" s="41" t="n">
        <v>662.5700000000001</v>
      </c>
      <c r="L88" s="41" t="n">
        <v>713.04</v>
      </c>
      <c r="M88" s="36" t="inlineStr">
        <is>
          <t>Y</t>
        </is>
      </c>
      <c r="N88" s="36" t="inlineStr">
        <is>
          <t>Y</t>
        </is>
      </c>
      <c r="O88" s="36" t="inlineStr">
        <is>
          <t>N</t>
        </is>
      </c>
      <c r="P88" s="42">
        <f>H88*K88</f>
        <v/>
      </c>
      <c r="Q88" s="42">
        <f>H88*L88</f>
        <v/>
      </c>
      <c r="R88" s="43">
        <f>Q88-P88</f>
        <v/>
      </c>
      <c r="S88" s="44">
        <f>E88-D88</f>
        <v/>
      </c>
      <c r="T88" s="44">
        <f>IF(G88="","",G88-E88)</f>
        <v/>
      </c>
      <c r="U88" s="44">
        <f>IF(G88="","",IF(G88&lt;=F88,1,0))</f>
        <v/>
      </c>
      <c r="V88" s="45">
        <f>DATE(YEAR(E88),MONTH(E88),1)</f>
        <v/>
      </c>
    </row>
    <row r="89">
      <c r="A89" s="36" t="inlineStr">
        <is>
          <t>PO-26088</t>
        </is>
      </c>
      <c r="B89" s="36" t="inlineStr">
        <is>
          <t>Danubia Chemicals</t>
        </is>
      </c>
      <c r="C89" s="36" t="inlineStr">
        <is>
          <t>Raw Materials</t>
        </is>
      </c>
      <c r="D89" s="39" t="n">
        <v>46128</v>
      </c>
      <c r="E89" s="39" t="n">
        <v>46130</v>
      </c>
      <c r="F89" s="39" t="n">
        <v>46147</v>
      </c>
      <c r="G89" s="39" t="n">
        <v>46145</v>
      </c>
      <c r="H89" s="40" t="n">
        <v>871</v>
      </c>
      <c r="I89" s="40" t="n">
        <v>871</v>
      </c>
      <c r="J89" s="40" t="n">
        <v>15</v>
      </c>
      <c r="K89" s="41" t="n">
        <v>22.25</v>
      </c>
      <c r="L89" s="41" t="n">
        <v>23.66</v>
      </c>
      <c r="M89" s="36" t="inlineStr">
        <is>
          <t>Y</t>
        </is>
      </c>
      <c r="N89" s="36" t="inlineStr">
        <is>
          <t>Y</t>
        </is>
      </c>
      <c r="O89" s="36" t="inlineStr">
        <is>
          <t>N</t>
        </is>
      </c>
      <c r="P89" s="42">
        <f>H89*K89</f>
        <v/>
      </c>
      <c r="Q89" s="42">
        <f>H89*L89</f>
        <v/>
      </c>
      <c r="R89" s="43">
        <f>Q89-P89</f>
        <v/>
      </c>
      <c r="S89" s="44">
        <f>E89-D89</f>
        <v/>
      </c>
      <c r="T89" s="44">
        <f>IF(G89="","",G89-E89)</f>
        <v/>
      </c>
      <c r="U89" s="44">
        <f>IF(G89="","",IF(G89&lt;=F89,1,0))</f>
        <v/>
      </c>
      <c r="V89" s="45">
        <f>DATE(YEAR(E89),MONTH(E89),1)</f>
        <v/>
      </c>
    </row>
    <row r="90">
      <c r="A90" s="36" t="inlineStr">
        <is>
          <t>PO-26089</t>
        </is>
      </c>
      <c r="B90" s="36" t="inlineStr">
        <is>
          <t>Nordline Industrial</t>
        </is>
      </c>
      <c r="C90" s="36" t="inlineStr">
        <is>
          <t>MRO</t>
        </is>
      </c>
      <c r="D90" s="39" t="n">
        <v>46127</v>
      </c>
      <c r="E90" s="39" t="n">
        <v>46132</v>
      </c>
      <c r="F90" s="39" t="n">
        <v>46142</v>
      </c>
      <c r="G90" s="39" t="n">
        <v>46147</v>
      </c>
      <c r="H90" s="40" t="n">
        <v>9</v>
      </c>
      <c r="I90" s="40" t="n">
        <v>9</v>
      </c>
      <c r="J90" s="40" t="n">
        <v>1</v>
      </c>
      <c r="K90" s="41" t="n">
        <v>81.98</v>
      </c>
      <c r="L90" s="41" t="n">
        <v>83.8</v>
      </c>
      <c r="M90" s="36" t="inlineStr">
        <is>
          <t>Y</t>
        </is>
      </c>
      <c r="N90" s="36" t="inlineStr">
        <is>
          <t>Y</t>
        </is>
      </c>
      <c r="O90" s="36" t="inlineStr">
        <is>
          <t>N</t>
        </is>
      </c>
      <c r="P90" s="42">
        <f>H90*K90</f>
        <v/>
      </c>
      <c r="Q90" s="42">
        <f>H90*L90</f>
        <v/>
      </c>
      <c r="R90" s="43">
        <f>Q90-P90</f>
        <v/>
      </c>
      <c r="S90" s="44">
        <f>E90-D90</f>
        <v/>
      </c>
      <c r="T90" s="44">
        <f>IF(G90="","",G90-E90)</f>
        <v/>
      </c>
      <c r="U90" s="44">
        <f>IF(G90="","",IF(G90&lt;=F90,1,0))</f>
        <v/>
      </c>
      <c r="V90" s="45">
        <f>DATE(YEAR(E90),MONTH(E90),1)</f>
        <v/>
      </c>
    </row>
    <row r="91">
      <c r="A91" s="36" t="inlineStr">
        <is>
          <t>PO-26090</t>
        </is>
      </c>
      <c r="B91" s="36" t="inlineStr">
        <is>
          <t>Vektor Components</t>
        </is>
      </c>
      <c r="C91" s="36" t="inlineStr">
        <is>
          <t>IT</t>
        </is>
      </c>
      <c r="D91" s="39" t="n">
        <v>46130</v>
      </c>
      <c r="E91" s="39" t="n">
        <v>46135</v>
      </c>
      <c r="F91" s="39" t="n">
        <v>46143</v>
      </c>
      <c r="G91" s="39" t="n">
        <v>46143</v>
      </c>
      <c r="H91" s="40" t="n">
        <v>10</v>
      </c>
      <c r="I91" s="40" t="n">
        <v>10</v>
      </c>
      <c r="J91" s="40" t="n">
        <v>0</v>
      </c>
      <c r="K91" s="41" t="n">
        <v>381.17</v>
      </c>
      <c r="L91" s="41" t="n">
        <v>390.7</v>
      </c>
      <c r="M91" s="36" t="inlineStr">
        <is>
          <t>Y</t>
        </is>
      </c>
      <c r="N91" s="36" t="inlineStr">
        <is>
          <t>Y</t>
        </is>
      </c>
      <c r="O91" s="36" t="inlineStr">
        <is>
          <t>N</t>
        </is>
      </c>
      <c r="P91" s="42">
        <f>H91*K91</f>
        <v/>
      </c>
      <c r="Q91" s="42">
        <f>H91*L91</f>
        <v/>
      </c>
      <c r="R91" s="43">
        <f>Q91-P91</f>
        <v/>
      </c>
      <c r="S91" s="44">
        <f>E91-D91</f>
        <v/>
      </c>
      <c r="T91" s="44">
        <f>IF(G91="","",G91-E91)</f>
        <v/>
      </c>
      <c r="U91" s="44">
        <f>IF(G91="","",IF(G91&lt;=F91,1,0))</f>
        <v/>
      </c>
      <c r="V91" s="45">
        <f>DATE(YEAR(E91),MONTH(E91),1)</f>
        <v/>
      </c>
    </row>
    <row r="92">
      <c r="A92" s="36" t="inlineStr">
        <is>
          <t>PO-26091</t>
        </is>
      </c>
      <c r="B92" s="36" t="inlineStr">
        <is>
          <t>Nordline Industrial</t>
        </is>
      </c>
      <c r="C92" s="36" t="inlineStr">
        <is>
          <t>Raw Materials</t>
        </is>
      </c>
      <c r="D92" s="39" t="n">
        <v>46130</v>
      </c>
      <c r="E92" s="39" t="n">
        <v>46135</v>
      </c>
      <c r="F92" s="39" t="n">
        <v>46153</v>
      </c>
      <c r="G92" s="39" t="n">
        <v>46153</v>
      </c>
      <c r="H92" s="40" t="n">
        <v>964</v>
      </c>
      <c r="I92" s="40" t="n">
        <v>964</v>
      </c>
      <c r="J92" s="40" t="n">
        <v>8</v>
      </c>
      <c r="K92" s="41" t="n">
        <v>9.73</v>
      </c>
      <c r="L92" s="41" t="n">
        <v>10.5</v>
      </c>
      <c r="M92" s="36" t="inlineStr">
        <is>
          <t>Y</t>
        </is>
      </c>
      <c r="N92" s="36" t="inlineStr">
        <is>
          <t>Y</t>
        </is>
      </c>
      <c r="O92" s="36" t="inlineStr">
        <is>
          <t>N</t>
        </is>
      </c>
      <c r="P92" s="42">
        <f>H92*K92</f>
        <v/>
      </c>
      <c r="Q92" s="42">
        <f>H92*L92</f>
        <v/>
      </c>
      <c r="R92" s="43">
        <f>Q92-P92</f>
        <v/>
      </c>
      <c r="S92" s="44">
        <f>E92-D92</f>
        <v/>
      </c>
      <c r="T92" s="44">
        <f>IF(G92="","",G92-E92)</f>
        <v/>
      </c>
      <c r="U92" s="44">
        <f>IF(G92="","",IF(G92&lt;=F92,1,0))</f>
        <v/>
      </c>
      <c r="V92" s="45">
        <f>DATE(YEAR(E92),MONTH(E92),1)</f>
        <v/>
      </c>
    </row>
    <row r="93">
      <c r="A93" s="36" t="inlineStr">
        <is>
          <t>PO-26092</t>
        </is>
      </c>
      <c r="B93" s="36" t="inlineStr">
        <is>
          <t>Adria Packaging</t>
        </is>
      </c>
      <c r="C93" s="36" t="inlineStr">
        <is>
          <t>Packaging</t>
        </is>
      </c>
      <c r="D93" s="39" t="n">
        <v>46136</v>
      </c>
      <c r="E93" s="39" t="n">
        <v>46139</v>
      </c>
      <c r="F93" s="39" t="n">
        <v>46156</v>
      </c>
      <c r="G93" s="39" t="n">
        <v>46156</v>
      </c>
      <c r="H93" s="40" t="n">
        <v>9345</v>
      </c>
      <c r="I93" s="40" t="n">
        <v>9345</v>
      </c>
      <c r="J93" s="40" t="n">
        <v>2</v>
      </c>
      <c r="K93" s="41" t="n">
        <v>1.38</v>
      </c>
      <c r="L93" s="41" t="n">
        <v>1.42</v>
      </c>
      <c r="M93" s="36" t="inlineStr">
        <is>
          <t>Y</t>
        </is>
      </c>
      <c r="N93" s="36" t="inlineStr">
        <is>
          <t>Y</t>
        </is>
      </c>
      <c r="O93" s="36" t="inlineStr">
        <is>
          <t>N</t>
        </is>
      </c>
      <c r="P93" s="42">
        <f>H93*K93</f>
        <v/>
      </c>
      <c r="Q93" s="42">
        <f>H93*L93</f>
        <v/>
      </c>
      <c r="R93" s="43">
        <f>Q93-P93</f>
        <v/>
      </c>
      <c r="S93" s="44">
        <f>E93-D93</f>
        <v/>
      </c>
      <c r="T93" s="44">
        <f>IF(G93="","",G93-E93)</f>
        <v/>
      </c>
      <c r="U93" s="44">
        <f>IF(G93="","",IF(G93&lt;=F93,1,0))</f>
        <v/>
      </c>
      <c r="V93" s="45">
        <f>DATE(YEAR(E93),MONTH(E93),1)</f>
        <v/>
      </c>
    </row>
    <row r="94">
      <c r="A94" s="36" t="inlineStr">
        <is>
          <t>PO-26093</t>
        </is>
      </c>
      <c r="B94" s="36" t="inlineStr">
        <is>
          <t>Adria Packaging</t>
        </is>
      </c>
      <c r="C94" s="36" t="inlineStr">
        <is>
          <t>Packaging</t>
        </is>
      </c>
      <c r="D94" s="39" t="n">
        <v>46137</v>
      </c>
      <c r="E94" s="39" t="n">
        <v>46140</v>
      </c>
      <c r="F94" s="39" t="n">
        <v>46160</v>
      </c>
      <c r="G94" s="39" t="n">
        <v>46159</v>
      </c>
      <c r="H94" s="40" t="n">
        <v>2373</v>
      </c>
      <c r="I94" s="40" t="n">
        <v>2373</v>
      </c>
      <c r="J94" s="40" t="n">
        <v>5</v>
      </c>
      <c r="K94" s="41" t="n">
        <v>2.82</v>
      </c>
      <c r="L94" s="41" t="n">
        <v>2.89</v>
      </c>
      <c r="M94" s="36" t="inlineStr">
        <is>
          <t>Y</t>
        </is>
      </c>
      <c r="N94" s="36" t="inlineStr">
        <is>
          <t>Y</t>
        </is>
      </c>
      <c r="O94" s="36" t="inlineStr">
        <is>
          <t>N</t>
        </is>
      </c>
      <c r="P94" s="42">
        <f>H94*K94</f>
        <v/>
      </c>
      <c r="Q94" s="42">
        <f>H94*L94</f>
        <v/>
      </c>
      <c r="R94" s="43">
        <f>Q94-P94</f>
        <v/>
      </c>
      <c r="S94" s="44">
        <f>E94-D94</f>
        <v/>
      </c>
      <c r="T94" s="44">
        <f>IF(G94="","",G94-E94)</f>
        <v/>
      </c>
      <c r="U94" s="44">
        <f>IF(G94="","",IF(G94&lt;=F94,1,0))</f>
        <v/>
      </c>
      <c r="V94" s="45">
        <f>DATE(YEAR(E94),MONTH(E94),1)</f>
        <v/>
      </c>
    </row>
    <row r="95">
      <c r="A95" s="36" t="inlineStr">
        <is>
          <t>PO-26094</t>
        </is>
      </c>
      <c r="B95" s="36" t="inlineStr">
        <is>
          <t>Danubia Chemicals</t>
        </is>
      </c>
      <c r="C95" s="36" t="inlineStr">
        <is>
          <t>Raw Materials</t>
        </is>
      </c>
      <c r="D95" s="39" t="n">
        <v>46140</v>
      </c>
      <c r="E95" s="39" t="n">
        <v>46142</v>
      </c>
      <c r="F95" s="39" t="n">
        <v>46148</v>
      </c>
      <c r="G95" s="39" t="n">
        <v>46148</v>
      </c>
      <c r="H95" s="40" t="n">
        <v>1377</v>
      </c>
      <c r="I95" s="40" t="n">
        <v>1377</v>
      </c>
      <c r="J95" s="40" t="n">
        <v>23</v>
      </c>
      <c r="K95" s="41" t="n">
        <v>13.8</v>
      </c>
      <c r="L95" s="41" t="n">
        <v>15.03</v>
      </c>
      <c r="M95" s="36" t="inlineStr">
        <is>
          <t>Y</t>
        </is>
      </c>
      <c r="N95" s="36" t="inlineStr">
        <is>
          <t>Y</t>
        </is>
      </c>
      <c r="O95" s="36" t="inlineStr">
        <is>
          <t>N</t>
        </is>
      </c>
      <c r="P95" s="42">
        <f>H95*K95</f>
        <v/>
      </c>
      <c r="Q95" s="42">
        <f>H95*L95</f>
        <v/>
      </c>
      <c r="R95" s="43">
        <f>Q95-P95</f>
        <v/>
      </c>
      <c r="S95" s="44">
        <f>E95-D95</f>
        <v/>
      </c>
      <c r="T95" s="44">
        <f>IF(G95="","",G95-E95)</f>
        <v/>
      </c>
      <c r="U95" s="44">
        <f>IF(G95="","",IF(G95&lt;=F95,1,0))</f>
        <v/>
      </c>
      <c r="V95" s="45">
        <f>DATE(YEAR(E95),MONTH(E95),1)</f>
        <v/>
      </c>
    </row>
    <row r="96">
      <c r="A96" s="36" t="inlineStr">
        <is>
          <t>PO-26095</t>
        </is>
      </c>
      <c r="B96" s="36" t="inlineStr">
        <is>
          <t>Vektor Components</t>
        </is>
      </c>
      <c r="C96" s="36" t="inlineStr">
        <is>
          <t>Raw Materials</t>
        </is>
      </c>
      <c r="D96" s="39" t="n">
        <v>46140</v>
      </c>
      <c r="E96" s="39" t="n">
        <v>46145</v>
      </c>
      <c r="F96" s="39" t="n">
        <v>46158</v>
      </c>
      <c r="G96" s="39" t="n">
        <v>46157</v>
      </c>
      <c r="H96" s="40" t="n">
        <v>1844</v>
      </c>
      <c r="I96" s="40" t="n">
        <v>1844</v>
      </c>
      <c r="J96" s="40" t="n">
        <v>15</v>
      </c>
      <c r="K96" s="41" t="n">
        <v>24.78</v>
      </c>
      <c r="L96" s="41" t="n">
        <v>27.04</v>
      </c>
      <c r="M96" s="36" t="inlineStr">
        <is>
          <t>Y</t>
        </is>
      </c>
      <c r="N96" s="36" t="inlineStr">
        <is>
          <t>Y</t>
        </is>
      </c>
      <c r="O96" s="36" t="inlineStr">
        <is>
          <t>N</t>
        </is>
      </c>
      <c r="P96" s="42">
        <f>H96*K96</f>
        <v/>
      </c>
      <c r="Q96" s="42">
        <f>H96*L96</f>
        <v/>
      </c>
      <c r="R96" s="43">
        <f>Q96-P96</f>
        <v/>
      </c>
      <c r="S96" s="44">
        <f>E96-D96</f>
        <v/>
      </c>
      <c r="T96" s="44">
        <f>IF(G96="","",G96-E96)</f>
        <v/>
      </c>
      <c r="U96" s="44">
        <f>IF(G96="","",IF(G96&lt;=F96,1,0))</f>
        <v/>
      </c>
      <c r="V96" s="45">
        <f>DATE(YEAR(E96),MONTH(E96),1)</f>
        <v/>
      </c>
    </row>
    <row r="97">
      <c r="A97" s="36" t="inlineStr">
        <is>
          <t>PO-26096</t>
        </is>
      </c>
      <c r="B97" s="36" t="inlineStr">
        <is>
          <t>Kestrel Office Supply</t>
        </is>
      </c>
      <c r="C97" s="36" t="inlineStr">
        <is>
          <t>Office</t>
        </is>
      </c>
      <c r="D97" s="39" t="n">
        <v>46143</v>
      </c>
      <c r="E97" s="39" t="n">
        <v>46148</v>
      </c>
      <c r="F97" s="39" t="n">
        <v>46164</v>
      </c>
      <c r="G97" s="39" t="n">
        <v>46163</v>
      </c>
      <c r="H97" s="40" t="n">
        <v>132</v>
      </c>
      <c r="I97" s="40" t="n">
        <v>132</v>
      </c>
      <c r="J97" s="40" t="n">
        <v>0</v>
      </c>
      <c r="K97" s="41" t="n">
        <v>18.75</v>
      </c>
      <c r="L97" s="41" t="n">
        <v>18.98</v>
      </c>
      <c r="M97" s="36" t="inlineStr">
        <is>
          <t>N</t>
        </is>
      </c>
      <c r="N97" s="36" t="inlineStr">
        <is>
          <t>Y</t>
        </is>
      </c>
      <c r="O97" s="36" t="inlineStr">
        <is>
          <t>N</t>
        </is>
      </c>
      <c r="P97" s="42">
        <f>H97*K97</f>
        <v/>
      </c>
      <c r="Q97" s="42">
        <f>H97*L97</f>
        <v/>
      </c>
      <c r="R97" s="43">
        <f>Q97-P97</f>
        <v/>
      </c>
      <c r="S97" s="44">
        <f>E97-D97</f>
        <v/>
      </c>
      <c r="T97" s="44">
        <f>IF(G97="","",G97-E97)</f>
        <v/>
      </c>
      <c r="U97" s="44">
        <f>IF(G97="","",IF(G97&lt;=F97,1,0))</f>
        <v/>
      </c>
      <c r="V97" s="45">
        <f>DATE(YEAR(E97),MONTH(E97),1)</f>
        <v/>
      </c>
    </row>
    <row r="98">
      <c r="A98" s="36" t="inlineStr">
        <is>
          <t>PO-26097</t>
        </is>
      </c>
      <c r="B98" s="36" t="inlineStr">
        <is>
          <t>Nordline Industrial</t>
        </is>
      </c>
      <c r="C98" s="36" t="inlineStr">
        <is>
          <t>Raw Materials</t>
        </is>
      </c>
      <c r="D98" s="39" t="n">
        <v>46149</v>
      </c>
      <c r="E98" s="39" t="n">
        <v>46149</v>
      </c>
      <c r="F98" s="39" t="n">
        <v>46151</v>
      </c>
      <c r="G98" s="39" t="n">
        <v>46151</v>
      </c>
      <c r="H98" s="40" t="n">
        <v>1591</v>
      </c>
      <c r="I98" s="40" t="n">
        <v>1591</v>
      </c>
      <c r="J98" s="40" t="n">
        <v>8</v>
      </c>
      <c r="K98" s="41" t="n">
        <v>32.46</v>
      </c>
      <c r="L98" s="41" t="n">
        <v>31.23</v>
      </c>
      <c r="M98" s="36" t="inlineStr">
        <is>
          <t>N</t>
        </is>
      </c>
      <c r="N98" s="36" t="inlineStr">
        <is>
          <t>Y</t>
        </is>
      </c>
      <c r="O98" s="36" t="inlineStr">
        <is>
          <t>Y</t>
        </is>
      </c>
      <c r="P98" s="42">
        <f>H98*K98</f>
        <v/>
      </c>
      <c r="Q98" s="42">
        <f>H98*L98</f>
        <v/>
      </c>
      <c r="R98" s="43">
        <f>Q98-P98</f>
        <v/>
      </c>
      <c r="S98" s="44">
        <f>E98-D98</f>
        <v/>
      </c>
      <c r="T98" s="44">
        <f>IF(G98="","",G98-E98)</f>
        <v/>
      </c>
      <c r="U98" s="44">
        <f>IF(G98="","",IF(G98&lt;=F98,1,0))</f>
        <v/>
      </c>
      <c r="V98" s="45">
        <f>DATE(YEAR(E98),MONTH(E98),1)</f>
        <v/>
      </c>
    </row>
    <row r="99">
      <c r="A99" s="36" t="inlineStr">
        <is>
          <t>PO-26098</t>
        </is>
      </c>
      <c r="B99" s="36" t="inlineStr">
        <is>
          <t>Nordline Industrial</t>
        </is>
      </c>
      <c r="C99" s="36" t="inlineStr">
        <is>
          <t>Raw Materials</t>
        </is>
      </c>
      <c r="D99" s="39" t="n">
        <v>46152</v>
      </c>
      <c r="E99" s="39" t="n">
        <v>46153</v>
      </c>
      <c r="F99" s="39" t="n">
        <v>46155</v>
      </c>
      <c r="G99" s="39" t="n">
        <v>46154</v>
      </c>
      <c r="H99" s="40" t="n">
        <v>1743</v>
      </c>
      <c r="I99" s="40" t="n">
        <v>1743</v>
      </c>
      <c r="J99" s="40" t="n">
        <v>7</v>
      </c>
      <c r="K99" s="41" t="n">
        <v>34.24</v>
      </c>
      <c r="L99" s="41" t="n">
        <v>32.64</v>
      </c>
      <c r="M99" s="36" t="inlineStr">
        <is>
          <t>N</t>
        </is>
      </c>
      <c r="N99" s="36" t="inlineStr">
        <is>
          <t>N</t>
        </is>
      </c>
      <c r="O99" s="36" t="inlineStr">
        <is>
          <t>Y</t>
        </is>
      </c>
      <c r="P99" s="42">
        <f>H99*K99</f>
        <v/>
      </c>
      <c r="Q99" s="42">
        <f>H99*L99</f>
        <v/>
      </c>
      <c r="R99" s="43">
        <f>Q99-P99</f>
        <v/>
      </c>
      <c r="S99" s="44">
        <f>E99-D99</f>
        <v/>
      </c>
      <c r="T99" s="44">
        <f>IF(G99="","",G99-E99)</f>
        <v/>
      </c>
      <c r="U99" s="44">
        <f>IF(G99="","",IF(G99&lt;=F99,1,0))</f>
        <v/>
      </c>
      <c r="V99" s="45">
        <f>DATE(YEAR(E99),MONTH(E99),1)</f>
        <v/>
      </c>
    </row>
    <row r="100">
      <c r="A100" s="36" t="inlineStr">
        <is>
          <t>PO-26099</t>
        </is>
      </c>
      <c r="B100" s="36" t="inlineStr">
        <is>
          <t>Kestrel Office Supply</t>
        </is>
      </c>
      <c r="C100" s="36" t="inlineStr">
        <is>
          <t>Office</t>
        </is>
      </c>
      <c r="D100" s="39" t="n">
        <v>46147</v>
      </c>
      <c r="E100" s="39" t="n">
        <v>46153</v>
      </c>
      <c r="F100" s="39" t="n">
        <v>46170</v>
      </c>
      <c r="G100" s="39" t="n">
        <v>46169</v>
      </c>
      <c r="H100" s="40" t="n">
        <v>54</v>
      </c>
      <c r="I100" s="40" t="n">
        <v>54</v>
      </c>
      <c r="J100" s="40" t="n">
        <v>0</v>
      </c>
      <c r="K100" s="41" t="n">
        <v>20.83</v>
      </c>
      <c r="L100" s="41" t="n">
        <v>20.85</v>
      </c>
      <c r="M100" s="36" t="inlineStr">
        <is>
          <t>N</t>
        </is>
      </c>
      <c r="N100" s="36" t="inlineStr">
        <is>
          <t>Y</t>
        </is>
      </c>
      <c r="O100" s="36" t="inlineStr">
        <is>
          <t>N</t>
        </is>
      </c>
      <c r="P100" s="42">
        <f>H100*K100</f>
        <v/>
      </c>
      <c r="Q100" s="42">
        <f>H100*L100</f>
        <v/>
      </c>
      <c r="R100" s="43">
        <f>Q100-P100</f>
        <v/>
      </c>
      <c r="S100" s="44">
        <f>E100-D100</f>
        <v/>
      </c>
      <c r="T100" s="44">
        <f>IF(G100="","",G100-E100)</f>
        <v/>
      </c>
      <c r="U100" s="44">
        <f>IF(G100="","",IF(G100&lt;=F100,1,0))</f>
        <v/>
      </c>
      <c r="V100" s="45">
        <f>DATE(YEAR(E100),MONTH(E100),1)</f>
        <v/>
      </c>
    </row>
    <row r="101">
      <c r="A101" s="36" t="inlineStr">
        <is>
          <t>PO-26100</t>
        </is>
      </c>
      <c r="B101" s="36" t="inlineStr">
        <is>
          <t>Adria Packaging</t>
        </is>
      </c>
      <c r="C101" s="36" t="inlineStr">
        <is>
          <t>Packaging</t>
        </is>
      </c>
      <c r="D101" s="39" t="n">
        <v>46147</v>
      </c>
      <c r="E101" s="39" t="n">
        <v>46156</v>
      </c>
      <c r="F101" s="39" t="n">
        <v>46171</v>
      </c>
      <c r="G101" s="39" t="n">
        <v>46171</v>
      </c>
      <c r="H101" s="40" t="n">
        <v>6480</v>
      </c>
      <c r="I101" s="40" t="n">
        <v>6480</v>
      </c>
      <c r="J101" s="40" t="n">
        <v>0</v>
      </c>
      <c r="K101" s="41" t="n">
        <v>1.27</v>
      </c>
      <c r="L101" s="41" t="n">
        <v>1.29</v>
      </c>
      <c r="M101" s="36" t="inlineStr">
        <is>
          <t>Y</t>
        </is>
      </c>
      <c r="N101" s="36" t="inlineStr">
        <is>
          <t>Y</t>
        </is>
      </c>
      <c r="O101" s="36" t="inlineStr">
        <is>
          <t>N</t>
        </is>
      </c>
      <c r="P101" s="42">
        <f>H101*K101</f>
        <v/>
      </c>
      <c r="Q101" s="42">
        <f>H101*L101</f>
        <v/>
      </c>
      <c r="R101" s="43">
        <f>Q101-P101</f>
        <v/>
      </c>
      <c r="S101" s="44">
        <f>E101-D101</f>
        <v/>
      </c>
      <c r="T101" s="44">
        <f>IF(G101="","",G101-E101)</f>
        <v/>
      </c>
      <c r="U101" s="44">
        <f>IF(G101="","",IF(G101&lt;=F101,1,0))</f>
        <v/>
      </c>
      <c r="V101" s="45">
        <f>DATE(YEAR(E101),MONTH(E101),1)</f>
        <v/>
      </c>
    </row>
    <row r="102">
      <c r="A102" s="36" t="inlineStr">
        <is>
          <t>PO-26101</t>
        </is>
      </c>
      <c r="B102" s="36" t="inlineStr">
        <is>
          <t>Nordline Industrial</t>
        </is>
      </c>
      <c r="C102" s="36" t="inlineStr">
        <is>
          <t>MRO</t>
        </is>
      </c>
      <c r="D102" s="39" t="n">
        <v>46157</v>
      </c>
      <c r="E102" s="39" t="n">
        <v>46159</v>
      </c>
      <c r="F102" s="39" t="n">
        <v>46170</v>
      </c>
      <c r="G102" s="39" t="n">
        <v>46177</v>
      </c>
      <c r="H102" s="40" t="n">
        <v>8</v>
      </c>
      <c r="I102" s="40" t="n">
        <v>8</v>
      </c>
      <c r="J102" s="40" t="n">
        <v>0</v>
      </c>
      <c r="K102" s="41" t="n">
        <v>21.25</v>
      </c>
      <c r="L102" s="41" t="n">
        <v>23.38</v>
      </c>
      <c r="M102" s="36" t="inlineStr">
        <is>
          <t>Y</t>
        </is>
      </c>
      <c r="N102" s="36" t="inlineStr">
        <is>
          <t>Y</t>
        </is>
      </c>
      <c r="O102" s="36" t="inlineStr">
        <is>
          <t>N</t>
        </is>
      </c>
      <c r="P102" s="42">
        <f>H102*K102</f>
        <v/>
      </c>
      <c r="Q102" s="42">
        <f>H102*L102</f>
        <v/>
      </c>
      <c r="R102" s="43">
        <f>Q102-P102</f>
        <v/>
      </c>
      <c r="S102" s="44">
        <f>E102-D102</f>
        <v/>
      </c>
      <c r="T102" s="44">
        <f>IF(G102="","",G102-E102)</f>
        <v/>
      </c>
      <c r="U102" s="44">
        <f>IF(G102="","",IF(G102&lt;=F102,1,0))</f>
        <v/>
      </c>
      <c r="V102" s="45">
        <f>DATE(YEAR(E102),MONTH(E102),1)</f>
        <v/>
      </c>
    </row>
    <row r="103">
      <c r="A103" s="36" t="inlineStr">
        <is>
          <t>PO-26102</t>
        </is>
      </c>
      <c r="B103" s="36" t="inlineStr">
        <is>
          <t>Adria Packaging</t>
        </is>
      </c>
      <c r="C103" s="36" t="inlineStr">
        <is>
          <t>Packaging</t>
        </is>
      </c>
      <c r="D103" s="39" t="n">
        <v>46160</v>
      </c>
      <c r="E103" s="39" t="n">
        <v>46161</v>
      </c>
      <c r="F103" s="39" t="n">
        <v>46171</v>
      </c>
      <c r="G103" s="39" t="n">
        <v>46180</v>
      </c>
      <c r="H103" s="40" t="n">
        <v>2446</v>
      </c>
      <c r="I103" s="40" t="n">
        <v>2446</v>
      </c>
      <c r="J103" s="40" t="n">
        <v>8</v>
      </c>
      <c r="K103" s="41" t="n">
        <v>1.12</v>
      </c>
      <c r="L103" s="41" t="n">
        <v>1.15</v>
      </c>
      <c r="M103" s="36" t="inlineStr">
        <is>
          <t>Y</t>
        </is>
      </c>
      <c r="N103" s="36" t="inlineStr">
        <is>
          <t>Y</t>
        </is>
      </c>
      <c r="O103" s="36" t="inlineStr">
        <is>
          <t>N</t>
        </is>
      </c>
      <c r="P103" s="42">
        <f>H103*K103</f>
        <v/>
      </c>
      <c r="Q103" s="42">
        <f>H103*L103</f>
        <v/>
      </c>
      <c r="R103" s="43">
        <f>Q103-P103</f>
        <v/>
      </c>
      <c r="S103" s="44">
        <f>E103-D103</f>
        <v/>
      </c>
      <c r="T103" s="44">
        <f>IF(G103="","",G103-E103)</f>
        <v/>
      </c>
      <c r="U103" s="44">
        <f>IF(G103="","",IF(G103&lt;=F103,1,0))</f>
        <v/>
      </c>
      <c r="V103" s="45">
        <f>DATE(YEAR(E103),MONTH(E103),1)</f>
        <v/>
      </c>
    </row>
    <row r="104">
      <c r="A104" s="36" t="inlineStr">
        <is>
          <t>PO-26103</t>
        </is>
      </c>
      <c r="B104" s="36" t="inlineStr">
        <is>
          <t>Danubia Chemicals</t>
        </is>
      </c>
      <c r="C104" s="36" t="inlineStr">
        <is>
          <t>Raw Materials</t>
        </is>
      </c>
      <c r="D104" s="39" t="n">
        <v>46159</v>
      </c>
      <c r="E104" s="39" t="n">
        <v>46164</v>
      </c>
      <c r="F104" s="39" t="n">
        <v>46176</v>
      </c>
      <c r="G104" s="39" t="n">
        <v>46174</v>
      </c>
      <c r="H104" s="40" t="n">
        <v>442</v>
      </c>
      <c r="I104" s="40" t="n">
        <v>442</v>
      </c>
      <c r="J104" s="40" t="n">
        <v>10</v>
      </c>
      <c r="K104" s="41" t="n">
        <v>28.49</v>
      </c>
      <c r="L104" s="41" t="n">
        <v>27.68</v>
      </c>
      <c r="M104" s="36" t="inlineStr">
        <is>
          <t>N</t>
        </is>
      </c>
      <c r="N104" s="36" t="inlineStr">
        <is>
          <t>Y</t>
        </is>
      </c>
      <c r="O104" s="36" t="inlineStr">
        <is>
          <t>N</t>
        </is>
      </c>
      <c r="P104" s="42">
        <f>H104*K104</f>
        <v/>
      </c>
      <c r="Q104" s="42">
        <f>H104*L104</f>
        <v/>
      </c>
      <c r="R104" s="43">
        <f>Q104-P104</f>
        <v/>
      </c>
      <c r="S104" s="44">
        <f>E104-D104</f>
        <v/>
      </c>
      <c r="T104" s="44">
        <f>IF(G104="","",G104-E104)</f>
        <v/>
      </c>
      <c r="U104" s="44">
        <f>IF(G104="","",IF(G104&lt;=F104,1,0))</f>
        <v/>
      </c>
      <c r="V104" s="45">
        <f>DATE(YEAR(E104),MONTH(E104),1)</f>
        <v/>
      </c>
    </row>
    <row r="105">
      <c r="A105" s="36" t="inlineStr">
        <is>
          <t>PO-26104</t>
        </is>
      </c>
      <c r="B105" s="36" t="inlineStr">
        <is>
          <t>Kestrel Office Supply</t>
        </is>
      </c>
      <c r="C105" s="36" t="inlineStr">
        <is>
          <t>Office</t>
        </is>
      </c>
      <c r="D105" s="39" t="n">
        <v>46164</v>
      </c>
      <c r="E105" s="39" t="n">
        <v>46167</v>
      </c>
      <c r="F105" s="39" t="n">
        <v>46187</v>
      </c>
      <c r="G105" s="39" t="n">
        <v>46186</v>
      </c>
      <c r="H105" s="40" t="n">
        <v>126</v>
      </c>
      <c r="I105" s="40" t="n">
        <v>126</v>
      </c>
      <c r="J105" s="40" t="n">
        <v>0</v>
      </c>
      <c r="K105" s="41" t="n">
        <v>23.15</v>
      </c>
      <c r="L105" s="41" t="n">
        <v>23.24</v>
      </c>
      <c r="M105" s="36" t="inlineStr">
        <is>
          <t>N</t>
        </is>
      </c>
      <c r="N105" s="36" t="inlineStr">
        <is>
          <t>Y</t>
        </is>
      </c>
      <c r="O105" s="36" t="inlineStr">
        <is>
          <t>N</t>
        </is>
      </c>
      <c r="P105" s="42">
        <f>H105*K105</f>
        <v/>
      </c>
      <c r="Q105" s="42">
        <f>H105*L105</f>
        <v/>
      </c>
      <c r="R105" s="43">
        <f>Q105-P105</f>
        <v/>
      </c>
      <c r="S105" s="44">
        <f>E105-D105</f>
        <v/>
      </c>
      <c r="T105" s="44">
        <f>IF(G105="","",G105-E105)</f>
        <v/>
      </c>
      <c r="U105" s="44">
        <f>IF(G105="","",IF(G105&lt;=F105,1,0))</f>
        <v/>
      </c>
      <c r="V105" s="45">
        <f>DATE(YEAR(E105),MONTH(E105),1)</f>
        <v/>
      </c>
    </row>
    <row r="106">
      <c r="A106" s="36" t="inlineStr">
        <is>
          <t>PO-26105</t>
        </is>
      </c>
      <c r="B106" s="36" t="inlineStr">
        <is>
          <t>Nordline Industrial</t>
        </is>
      </c>
      <c r="C106" s="36" t="inlineStr">
        <is>
          <t>Raw Materials</t>
        </is>
      </c>
      <c r="D106" s="39" t="n">
        <v>46165</v>
      </c>
      <c r="E106" s="39" t="n">
        <v>46168</v>
      </c>
      <c r="F106" s="39" t="n">
        <v>46188</v>
      </c>
      <c r="G106" s="39" t="n">
        <v>46187</v>
      </c>
      <c r="H106" s="40" t="n">
        <v>205</v>
      </c>
      <c r="I106" s="40" t="n">
        <v>205</v>
      </c>
      <c r="J106" s="40" t="n">
        <v>2</v>
      </c>
      <c r="K106" s="41" t="n">
        <v>9.07</v>
      </c>
      <c r="L106" s="41" t="n">
        <v>9.26</v>
      </c>
      <c r="M106" s="36" t="inlineStr">
        <is>
          <t>Y</t>
        </is>
      </c>
      <c r="N106" s="36" t="inlineStr">
        <is>
          <t>Y</t>
        </is>
      </c>
      <c r="O106" s="36" t="inlineStr">
        <is>
          <t>N</t>
        </is>
      </c>
      <c r="P106" s="42">
        <f>H106*K106</f>
        <v/>
      </c>
      <c r="Q106" s="42">
        <f>H106*L106</f>
        <v/>
      </c>
      <c r="R106" s="43">
        <f>Q106-P106</f>
        <v/>
      </c>
      <c r="S106" s="44">
        <f>E106-D106</f>
        <v/>
      </c>
      <c r="T106" s="44">
        <f>IF(G106="","",G106-E106)</f>
        <v/>
      </c>
      <c r="U106" s="44">
        <f>IF(G106="","",IF(G106&lt;=F106,1,0))</f>
        <v/>
      </c>
      <c r="V106" s="45">
        <f>DATE(YEAR(E106),MONTH(E106),1)</f>
        <v/>
      </c>
    </row>
    <row r="107">
      <c r="A107" s="36" t="inlineStr">
        <is>
          <t>PO-26106</t>
        </is>
      </c>
      <c r="B107" s="36" t="inlineStr">
        <is>
          <t>Vektor Components</t>
        </is>
      </c>
      <c r="C107" s="36" t="inlineStr">
        <is>
          <t>IT</t>
        </is>
      </c>
      <c r="D107" s="39" t="n">
        <v>46168</v>
      </c>
      <c r="E107" s="39" t="n">
        <v>46169</v>
      </c>
      <c r="F107" s="39" t="n">
        <v>46178</v>
      </c>
      <c r="G107" s="39" t="n">
        <v>46178</v>
      </c>
      <c r="H107" s="40" t="n">
        <v>5</v>
      </c>
      <c r="I107" s="40" t="n">
        <v>5</v>
      </c>
      <c r="J107" s="40" t="n">
        <v>1</v>
      </c>
      <c r="K107" s="41" t="n">
        <v>160.4</v>
      </c>
      <c r="L107" s="41" t="n">
        <v>172.36</v>
      </c>
      <c r="M107" s="36" t="inlineStr">
        <is>
          <t>Y</t>
        </is>
      </c>
      <c r="N107" s="36" t="inlineStr">
        <is>
          <t>Y</t>
        </is>
      </c>
      <c r="O107" s="36" t="inlineStr">
        <is>
          <t>N</t>
        </is>
      </c>
      <c r="P107" s="42">
        <f>H107*K107</f>
        <v/>
      </c>
      <c r="Q107" s="42">
        <f>H107*L107</f>
        <v/>
      </c>
      <c r="R107" s="43">
        <f>Q107-P107</f>
        <v/>
      </c>
      <c r="S107" s="44">
        <f>E107-D107</f>
        <v/>
      </c>
      <c r="T107" s="44">
        <f>IF(G107="","",G107-E107)</f>
        <v/>
      </c>
      <c r="U107" s="44">
        <f>IF(G107="","",IF(G107&lt;=F107,1,0))</f>
        <v/>
      </c>
      <c r="V107" s="45">
        <f>DATE(YEAR(E107),MONTH(E107),1)</f>
        <v/>
      </c>
    </row>
    <row r="108">
      <c r="A108" s="36" t="inlineStr">
        <is>
          <t>PO-26107</t>
        </is>
      </c>
      <c r="B108" s="36" t="inlineStr">
        <is>
          <t>Bluewave Logistics</t>
        </is>
      </c>
      <c r="C108" s="36" t="inlineStr">
        <is>
          <t>Logistics</t>
        </is>
      </c>
      <c r="D108" s="39" t="n">
        <v>46167</v>
      </c>
      <c r="E108" s="39" t="n">
        <v>46173</v>
      </c>
      <c r="F108" s="39" t="n">
        <v>46182</v>
      </c>
      <c r="G108" s="39" t="n">
        <v>46185</v>
      </c>
      <c r="H108" s="40" t="n">
        <v>2</v>
      </c>
      <c r="I108" s="40" t="n">
        <v>2</v>
      </c>
      <c r="J108" s="40" t="n">
        <v>0</v>
      </c>
      <c r="K108" s="41" t="n">
        <v>738.0599999999999</v>
      </c>
      <c r="L108" s="41" t="n">
        <v>803.14</v>
      </c>
      <c r="M108" s="36" t="inlineStr">
        <is>
          <t>Y</t>
        </is>
      </c>
      <c r="N108" s="36" t="inlineStr">
        <is>
          <t>Y</t>
        </is>
      </c>
      <c r="O108" s="36" t="inlineStr">
        <is>
          <t>N</t>
        </is>
      </c>
      <c r="P108" s="42">
        <f>H108*K108</f>
        <v/>
      </c>
      <c r="Q108" s="42">
        <f>H108*L108</f>
        <v/>
      </c>
      <c r="R108" s="43">
        <f>Q108-P108</f>
        <v/>
      </c>
      <c r="S108" s="44">
        <f>E108-D108</f>
        <v/>
      </c>
      <c r="T108" s="44">
        <f>IF(G108="","",G108-E108)</f>
        <v/>
      </c>
      <c r="U108" s="44">
        <f>IF(G108="","",IF(G108&lt;=F108,1,0))</f>
        <v/>
      </c>
      <c r="V108" s="45">
        <f>DATE(YEAR(E108),MONTH(E108),1)</f>
        <v/>
      </c>
    </row>
    <row r="109">
      <c r="A109" s="36" t="inlineStr">
        <is>
          <t>PO-26108</t>
        </is>
      </c>
      <c r="B109" s="36" t="inlineStr">
        <is>
          <t>Kestrel Office Supply</t>
        </is>
      </c>
      <c r="C109" s="36" t="inlineStr">
        <is>
          <t>Office</t>
        </is>
      </c>
      <c r="D109" s="39" t="n">
        <v>46173</v>
      </c>
      <c r="E109" s="39" t="n">
        <v>46174</v>
      </c>
      <c r="F109" s="39" t="n">
        <v>46177</v>
      </c>
      <c r="G109" s="39" t="n">
        <v>46177</v>
      </c>
      <c r="H109" s="40" t="n">
        <v>76</v>
      </c>
      <c r="I109" s="40" t="n">
        <v>76</v>
      </c>
      <c r="J109" s="40" t="n">
        <v>0</v>
      </c>
      <c r="K109" s="41" t="n">
        <v>21.72</v>
      </c>
      <c r="L109" s="41" t="n">
        <v>20.28</v>
      </c>
      <c r="M109" s="36" t="inlineStr">
        <is>
          <t>N</t>
        </is>
      </c>
      <c r="N109" s="36" t="inlineStr">
        <is>
          <t>N</t>
        </is>
      </c>
      <c r="O109" s="36" t="inlineStr">
        <is>
          <t>Y</t>
        </is>
      </c>
      <c r="P109" s="42">
        <f>H109*K109</f>
        <v/>
      </c>
      <c r="Q109" s="42">
        <f>H109*L109</f>
        <v/>
      </c>
      <c r="R109" s="43">
        <f>Q109-P109</f>
        <v/>
      </c>
      <c r="S109" s="44">
        <f>E109-D109</f>
        <v/>
      </c>
      <c r="T109" s="44">
        <f>IF(G109="","",G109-E109)</f>
        <v/>
      </c>
      <c r="U109" s="44">
        <f>IF(G109="","",IF(G109&lt;=F109,1,0))</f>
        <v/>
      </c>
      <c r="V109" s="45">
        <f>DATE(YEAR(E109),MONTH(E109),1)</f>
        <v/>
      </c>
    </row>
    <row r="110">
      <c r="A110" s="36" t="inlineStr">
        <is>
          <t>PO-26109</t>
        </is>
      </c>
      <c r="B110" s="36" t="inlineStr">
        <is>
          <t>Nordline Industrial</t>
        </is>
      </c>
      <c r="C110" s="36" t="inlineStr">
        <is>
          <t>MRO</t>
        </is>
      </c>
      <c r="D110" s="39" t="n">
        <v>46175</v>
      </c>
      <c r="E110" s="39" t="n">
        <v>46177</v>
      </c>
      <c r="F110" s="39" t="n">
        <v>46181</v>
      </c>
      <c r="G110" s="39" t="n">
        <v>46181</v>
      </c>
      <c r="H110" s="40" t="n">
        <v>28</v>
      </c>
      <c r="I110" s="40" t="n">
        <v>28</v>
      </c>
      <c r="J110" s="40" t="n">
        <v>2</v>
      </c>
      <c r="K110" s="41" t="n">
        <v>109.37</v>
      </c>
      <c r="L110" s="41" t="n">
        <v>119.43</v>
      </c>
      <c r="M110" s="36" t="inlineStr">
        <is>
          <t>Y</t>
        </is>
      </c>
      <c r="N110" s="36" t="inlineStr">
        <is>
          <t>Y</t>
        </is>
      </c>
      <c r="O110" s="36" t="inlineStr">
        <is>
          <t>Y</t>
        </is>
      </c>
      <c r="P110" s="42">
        <f>H110*K110</f>
        <v/>
      </c>
      <c r="Q110" s="42">
        <f>H110*L110</f>
        <v/>
      </c>
      <c r="R110" s="43">
        <f>Q110-P110</f>
        <v/>
      </c>
      <c r="S110" s="44">
        <f>E110-D110</f>
        <v/>
      </c>
      <c r="T110" s="44">
        <f>IF(G110="","",G110-E110)</f>
        <v/>
      </c>
      <c r="U110" s="44">
        <f>IF(G110="","",IF(G110&lt;=F110,1,0))</f>
        <v/>
      </c>
      <c r="V110" s="45">
        <f>DATE(YEAR(E110),MONTH(E110),1)</f>
        <v/>
      </c>
    </row>
    <row r="111">
      <c r="A111" s="36" t="inlineStr">
        <is>
          <t>PO-26110</t>
        </is>
      </c>
      <c r="B111" s="36" t="inlineStr">
        <is>
          <t>Adria Packaging</t>
        </is>
      </c>
      <c r="C111" s="36" t="inlineStr">
        <is>
          <t>Packaging</t>
        </is>
      </c>
      <c r="D111" s="39" t="n">
        <v>46179</v>
      </c>
      <c r="E111" s="39" t="n">
        <v>46180</v>
      </c>
      <c r="F111" s="39" t="n">
        <v>46194</v>
      </c>
      <c r="G111" s="39" t="n">
        <v>46195</v>
      </c>
      <c r="H111" s="40" t="n">
        <v>4030</v>
      </c>
      <c r="I111" s="40" t="n">
        <v>4030</v>
      </c>
      <c r="J111" s="40" t="n">
        <v>7</v>
      </c>
      <c r="K111" s="41" t="n">
        <v>2.66</v>
      </c>
      <c r="L111" s="41" t="n">
        <v>2.89</v>
      </c>
      <c r="M111" s="36" t="inlineStr">
        <is>
          <t>Y</t>
        </is>
      </c>
      <c r="N111" s="36" t="inlineStr">
        <is>
          <t>Y</t>
        </is>
      </c>
      <c r="O111" s="36" t="inlineStr">
        <is>
          <t>N</t>
        </is>
      </c>
      <c r="P111" s="42">
        <f>H111*K111</f>
        <v/>
      </c>
      <c r="Q111" s="42">
        <f>H111*L111</f>
        <v/>
      </c>
      <c r="R111" s="43">
        <f>Q111-P111</f>
        <v/>
      </c>
      <c r="S111" s="44">
        <f>E111-D111</f>
        <v/>
      </c>
      <c r="T111" s="44">
        <f>IF(G111="","",G111-E111)</f>
        <v/>
      </c>
      <c r="U111" s="44">
        <f>IF(G111="","",IF(G111&lt;=F111,1,0))</f>
        <v/>
      </c>
      <c r="V111" s="45">
        <f>DATE(YEAR(E111),MONTH(E111),1)</f>
        <v/>
      </c>
    </row>
    <row r="112">
      <c r="A112" s="36" t="inlineStr">
        <is>
          <t>PO-26111</t>
        </is>
      </c>
      <c r="B112" s="36" t="inlineStr">
        <is>
          <t>Vektor Components</t>
        </is>
      </c>
      <c r="C112" s="36" t="inlineStr">
        <is>
          <t>MRO</t>
        </is>
      </c>
      <c r="D112" s="39" t="n">
        <v>46178</v>
      </c>
      <c r="E112" s="39" t="n">
        <v>46181</v>
      </c>
      <c r="F112" s="39" t="n">
        <v>46201</v>
      </c>
      <c r="G112" s="39" t="n">
        <v>46208</v>
      </c>
      <c r="H112" s="40" t="n">
        <v>26</v>
      </c>
      <c r="I112" s="40" t="n">
        <v>26</v>
      </c>
      <c r="J112" s="40" t="n">
        <v>0</v>
      </c>
      <c r="K112" s="41" t="n">
        <v>70.34</v>
      </c>
      <c r="L112" s="41" t="n">
        <v>77.81999999999999</v>
      </c>
      <c r="M112" s="36" t="inlineStr">
        <is>
          <t>Y</t>
        </is>
      </c>
      <c r="N112" s="36" t="inlineStr">
        <is>
          <t>Y</t>
        </is>
      </c>
      <c r="O112" s="36" t="inlineStr">
        <is>
          <t>N</t>
        </is>
      </c>
      <c r="P112" s="42">
        <f>H112*K112</f>
        <v/>
      </c>
      <c r="Q112" s="42">
        <f>H112*L112</f>
        <v/>
      </c>
      <c r="R112" s="43">
        <f>Q112-P112</f>
        <v/>
      </c>
      <c r="S112" s="44">
        <f>E112-D112</f>
        <v/>
      </c>
      <c r="T112" s="44">
        <f>IF(G112="","",G112-E112)</f>
        <v/>
      </c>
      <c r="U112" s="44">
        <f>IF(G112="","",IF(G112&lt;=F112,1,0))</f>
        <v/>
      </c>
      <c r="V112" s="45">
        <f>DATE(YEAR(E112),MONTH(E112),1)</f>
        <v/>
      </c>
    </row>
    <row r="113">
      <c r="A113" s="36" t="inlineStr">
        <is>
          <t>PO-26112</t>
        </is>
      </c>
      <c r="B113" s="36" t="inlineStr">
        <is>
          <t>Danubia Chemicals</t>
        </is>
      </c>
      <c r="C113" s="36" t="inlineStr">
        <is>
          <t>Raw Materials</t>
        </is>
      </c>
      <c r="D113" s="39" t="n">
        <v>46179</v>
      </c>
      <c r="E113" s="39" t="n">
        <v>46185</v>
      </c>
      <c r="F113" s="39" t="n">
        <v>46195</v>
      </c>
      <c r="G113" s="39" t="n">
        <v>46198</v>
      </c>
      <c r="H113" s="40" t="n">
        <v>418</v>
      </c>
      <c r="I113" s="40" t="n">
        <v>418</v>
      </c>
      <c r="J113" s="40" t="n">
        <v>13</v>
      </c>
      <c r="K113" s="41" t="n">
        <v>22.49</v>
      </c>
      <c r="L113" s="41" t="n">
        <v>23.69</v>
      </c>
      <c r="M113" s="36" t="inlineStr">
        <is>
          <t>Y</t>
        </is>
      </c>
      <c r="N113" s="36" t="inlineStr">
        <is>
          <t>Y</t>
        </is>
      </c>
      <c r="O113" s="36" t="inlineStr">
        <is>
          <t>N</t>
        </is>
      </c>
      <c r="P113" s="42">
        <f>H113*K113</f>
        <v/>
      </c>
      <c r="Q113" s="42">
        <f>H113*L113</f>
        <v/>
      </c>
      <c r="R113" s="43">
        <f>Q113-P113</f>
        <v/>
      </c>
      <c r="S113" s="44">
        <f>E113-D113</f>
        <v/>
      </c>
      <c r="T113" s="44">
        <f>IF(G113="","",G113-E113)</f>
        <v/>
      </c>
      <c r="U113" s="44">
        <f>IF(G113="","",IF(G113&lt;=F113,1,0))</f>
        <v/>
      </c>
      <c r="V113" s="45">
        <f>DATE(YEAR(E113),MONTH(E113),1)</f>
        <v/>
      </c>
    </row>
    <row r="114">
      <c r="A114" s="36" t="inlineStr">
        <is>
          <t>PO-26113</t>
        </is>
      </c>
      <c r="B114" s="36" t="inlineStr">
        <is>
          <t>Danubia Chemicals</t>
        </is>
      </c>
      <c r="C114" s="36" t="inlineStr">
        <is>
          <t>Raw Materials</t>
        </is>
      </c>
      <c r="D114" s="39" t="n">
        <v>46180</v>
      </c>
      <c r="E114" s="39" t="n">
        <v>46185</v>
      </c>
      <c r="F114" s="39" t="n">
        <v>46195</v>
      </c>
      <c r="G114" s="39" t="n">
        <v>46202</v>
      </c>
      <c r="H114" s="40" t="n">
        <v>347</v>
      </c>
      <c r="I114" s="40" t="n">
        <v>347</v>
      </c>
      <c r="J114" s="40" t="n">
        <v>7</v>
      </c>
      <c r="K114" s="41" t="n">
        <v>22</v>
      </c>
      <c r="L114" s="41" t="n">
        <v>23.09</v>
      </c>
      <c r="M114" s="36" t="inlineStr">
        <is>
          <t>Y</t>
        </is>
      </c>
      <c r="N114" s="36" t="inlineStr">
        <is>
          <t>Y</t>
        </is>
      </c>
      <c r="O114" s="36" t="inlineStr">
        <is>
          <t>N</t>
        </is>
      </c>
      <c r="P114" s="42">
        <f>H114*K114</f>
        <v/>
      </c>
      <c r="Q114" s="42">
        <f>H114*L114</f>
        <v/>
      </c>
      <c r="R114" s="43">
        <f>Q114-P114</f>
        <v/>
      </c>
      <c r="S114" s="44">
        <f>E114-D114</f>
        <v/>
      </c>
      <c r="T114" s="44">
        <f>IF(G114="","",G114-E114)</f>
        <v/>
      </c>
      <c r="U114" s="44">
        <f>IF(G114="","",IF(G114&lt;=F114,1,0))</f>
        <v/>
      </c>
      <c r="V114" s="45">
        <f>DATE(YEAR(E114),MONTH(E114),1)</f>
        <v/>
      </c>
    </row>
    <row r="115">
      <c r="A115" s="36" t="inlineStr">
        <is>
          <t>PO-26114</t>
        </is>
      </c>
      <c r="B115" s="36" t="inlineStr">
        <is>
          <t>Danubia Chemicals</t>
        </is>
      </c>
      <c r="C115" s="36" t="inlineStr">
        <is>
          <t>Raw Materials</t>
        </is>
      </c>
      <c r="D115" s="39" t="n">
        <v>46186</v>
      </c>
      <c r="E115" s="39" t="n">
        <v>46188</v>
      </c>
      <c r="F115" s="39" t="n">
        <v>46203</v>
      </c>
      <c r="G115" s="39" t="n">
        <v>46209</v>
      </c>
      <c r="H115" s="40" t="n">
        <v>942</v>
      </c>
      <c r="I115" s="40" t="n">
        <v>942</v>
      </c>
      <c r="J115" s="40" t="n">
        <v>14</v>
      </c>
      <c r="K115" s="41" t="n">
        <v>12.91</v>
      </c>
      <c r="L115" s="41" t="n">
        <v>14.26</v>
      </c>
      <c r="M115" s="36" t="inlineStr">
        <is>
          <t>Y</t>
        </is>
      </c>
      <c r="N115" s="36" t="inlineStr">
        <is>
          <t>Y</t>
        </is>
      </c>
      <c r="O115" s="36" t="inlineStr">
        <is>
          <t>N</t>
        </is>
      </c>
      <c r="P115" s="42">
        <f>H115*K115</f>
        <v/>
      </c>
      <c r="Q115" s="42">
        <f>H115*L115</f>
        <v/>
      </c>
      <c r="R115" s="43">
        <f>Q115-P115</f>
        <v/>
      </c>
      <c r="S115" s="44">
        <f>E115-D115</f>
        <v/>
      </c>
      <c r="T115" s="44">
        <f>IF(G115="","",G115-E115)</f>
        <v/>
      </c>
      <c r="U115" s="44">
        <f>IF(G115="","",IF(G115&lt;=F115,1,0))</f>
        <v/>
      </c>
      <c r="V115" s="45">
        <f>DATE(YEAR(E115),MONTH(E115),1)</f>
        <v/>
      </c>
    </row>
    <row r="116">
      <c r="A116" s="36" t="inlineStr">
        <is>
          <t>PO-26115</t>
        </is>
      </c>
      <c r="B116" s="36" t="inlineStr">
        <is>
          <t>Vektor Components</t>
        </is>
      </c>
      <c r="C116" s="36" t="inlineStr">
        <is>
          <t>MRO</t>
        </is>
      </c>
      <c r="D116" s="39" t="n">
        <v>46184</v>
      </c>
      <c r="E116" s="39" t="n">
        <v>46191</v>
      </c>
      <c r="F116" s="39" t="n">
        <v>46196</v>
      </c>
      <c r="G116" s="39" t="n">
        <v>46194</v>
      </c>
      <c r="H116" s="40" t="n">
        <v>54</v>
      </c>
      <c r="I116" s="40" t="n">
        <v>54</v>
      </c>
      <c r="J116" s="40" t="n">
        <v>0</v>
      </c>
      <c r="K116" s="41" t="n">
        <v>99.79000000000001</v>
      </c>
      <c r="L116" s="41" t="n">
        <v>102.38</v>
      </c>
      <c r="M116" s="36" t="inlineStr">
        <is>
          <t>Y</t>
        </is>
      </c>
      <c r="N116" s="36" t="inlineStr">
        <is>
          <t>Y</t>
        </is>
      </c>
      <c r="O116" s="36" t="inlineStr">
        <is>
          <t>N</t>
        </is>
      </c>
      <c r="P116" s="42">
        <f>H116*K116</f>
        <v/>
      </c>
      <c r="Q116" s="42">
        <f>H116*L116</f>
        <v/>
      </c>
      <c r="R116" s="43">
        <f>Q116-P116</f>
        <v/>
      </c>
      <c r="S116" s="44">
        <f>E116-D116</f>
        <v/>
      </c>
      <c r="T116" s="44">
        <f>IF(G116="","",G116-E116)</f>
        <v/>
      </c>
      <c r="U116" s="44">
        <f>IF(G116="","",IF(G116&lt;=F116,1,0))</f>
        <v/>
      </c>
      <c r="V116" s="45">
        <f>DATE(YEAR(E116),MONTH(E116),1)</f>
        <v/>
      </c>
    </row>
    <row r="117">
      <c r="A117" s="36" t="inlineStr">
        <is>
          <t>PO-26116</t>
        </is>
      </c>
      <c r="B117" s="36" t="inlineStr">
        <is>
          <t>Vektor Components</t>
        </is>
      </c>
      <c r="C117" s="36" t="inlineStr">
        <is>
          <t>Raw Materials</t>
        </is>
      </c>
      <c r="D117" s="39" t="n">
        <v>46187</v>
      </c>
      <c r="E117" s="39" t="n">
        <v>46193</v>
      </c>
      <c r="F117" s="39" t="n">
        <v>46204</v>
      </c>
      <c r="G117" s="39" t="n">
        <v>46203</v>
      </c>
      <c r="H117" s="40" t="n">
        <v>1155</v>
      </c>
      <c r="I117" s="40" t="n">
        <v>1155</v>
      </c>
      <c r="J117" s="40" t="n">
        <v>14</v>
      </c>
      <c r="K117" s="41" t="n">
        <v>10.85</v>
      </c>
      <c r="L117" s="41" t="n">
        <v>12</v>
      </c>
      <c r="M117" s="36" t="inlineStr">
        <is>
          <t>Y</t>
        </is>
      </c>
      <c r="N117" s="36" t="inlineStr">
        <is>
          <t>Y</t>
        </is>
      </c>
      <c r="O117" s="36" t="inlineStr">
        <is>
          <t>N</t>
        </is>
      </c>
      <c r="P117" s="42">
        <f>H117*K117</f>
        <v/>
      </c>
      <c r="Q117" s="42">
        <f>H117*L117</f>
        <v/>
      </c>
      <c r="R117" s="43">
        <f>Q117-P117</f>
        <v/>
      </c>
      <c r="S117" s="44">
        <f>E117-D117</f>
        <v/>
      </c>
      <c r="T117" s="44">
        <f>IF(G117="","",G117-E117)</f>
        <v/>
      </c>
      <c r="U117" s="44">
        <f>IF(G117="","",IF(G117&lt;=F117,1,0))</f>
        <v/>
      </c>
      <c r="V117" s="45">
        <f>DATE(YEAR(E117),MONTH(E117),1)</f>
        <v/>
      </c>
    </row>
    <row r="118">
      <c r="A118" s="36" t="inlineStr">
        <is>
          <t>PO-26117</t>
        </is>
      </c>
      <c r="B118" s="36" t="inlineStr">
        <is>
          <t>Adria Packaging</t>
        </is>
      </c>
      <c r="C118" s="36" t="inlineStr">
        <is>
          <t>Packaging</t>
        </is>
      </c>
      <c r="D118" s="39" t="n">
        <v>46194</v>
      </c>
      <c r="E118" s="39" t="n">
        <v>46195</v>
      </c>
      <c r="F118" s="39" t="n">
        <v>46209</v>
      </c>
      <c r="G118" s="39" t="n">
        <v>46208</v>
      </c>
      <c r="H118" s="40" t="n">
        <v>7258</v>
      </c>
      <c r="I118" s="40" t="n">
        <v>7258</v>
      </c>
      <c r="J118" s="40" t="n">
        <v>3</v>
      </c>
      <c r="K118" s="41" t="n">
        <v>0.38</v>
      </c>
      <c r="L118" s="41" t="n">
        <v>0.41</v>
      </c>
      <c r="M118" s="36" t="inlineStr">
        <is>
          <t>Y</t>
        </is>
      </c>
      <c r="N118" s="36" t="inlineStr">
        <is>
          <t>Y</t>
        </is>
      </c>
      <c r="O118" s="36" t="inlineStr">
        <is>
          <t>N</t>
        </is>
      </c>
      <c r="P118" s="42">
        <f>H118*K118</f>
        <v/>
      </c>
      <c r="Q118" s="42">
        <f>H118*L118</f>
        <v/>
      </c>
      <c r="R118" s="43">
        <f>Q118-P118</f>
        <v/>
      </c>
      <c r="S118" s="44">
        <f>E118-D118</f>
        <v/>
      </c>
      <c r="T118" s="44">
        <f>IF(G118="","",G118-E118)</f>
        <v/>
      </c>
      <c r="U118" s="44">
        <f>IF(G118="","",IF(G118&lt;=F118,1,0))</f>
        <v/>
      </c>
      <c r="V118" s="45">
        <f>DATE(YEAR(E118),MONTH(E118),1)</f>
        <v/>
      </c>
    </row>
    <row r="119">
      <c r="A119" s="36" t="inlineStr">
        <is>
          <t>PO-26118</t>
        </is>
      </c>
      <c r="B119" s="36" t="inlineStr">
        <is>
          <t>Vektor Components</t>
        </is>
      </c>
      <c r="C119" s="36" t="inlineStr">
        <is>
          <t>IT</t>
        </is>
      </c>
      <c r="D119" s="39" t="n">
        <v>46196</v>
      </c>
      <c r="E119" s="39" t="n">
        <v>46197</v>
      </c>
      <c r="F119" s="39" t="n">
        <v>46207</v>
      </c>
      <c r="G119" s="39" t="n">
        <v>46205</v>
      </c>
      <c r="H119" s="40" t="n">
        <v>3</v>
      </c>
      <c r="I119" s="40" t="n">
        <v>3</v>
      </c>
      <c r="J119" s="40" t="n">
        <v>0</v>
      </c>
      <c r="K119" s="41" t="n">
        <v>696.29</v>
      </c>
      <c r="L119" s="41" t="n">
        <v>707.95</v>
      </c>
      <c r="M119" s="36" t="inlineStr">
        <is>
          <t>Y</t>
        </is>
      </c>
      <c r="N119" s="36" t="inlineStr">
        <is>
          <t>Y</t>
        </is>
      </c>
      <c r="O119" s="36" t="inlineStr">
        <is>
          <t>N</t>
        </is>
      </c>
      <c r="P119" s="42">
        <f>H119*K119</f>
        <v/>
      </c>
      <c r="Q119" s="42">
        <f>H119*L119</f>
        <v/>
      </c>
      <c r="R119" s="43">
        <f>Q119-P119</f>
        <v/>
      </c>
      <c r="S119" s="44">
        <f>E119-D119</f>
        <v/>
      </c>
      <c r="T119" s="44">
        <f>IF(G119="","",G119-E119)</f>
        <v/>
      </c>
      <c r="U119" s="44">
        <f>IF(G119="","",IF(G119&lt;=F119,1,0))</f>
        <v/>
      </c>
      <c r="V119" s="45">
        <f>DATE(YEAR(E119),MONTH(E119),1)</f>
        <v/>
      </c>
    </row>
    <row r="120">
      <c r="A120" s="36" t="inlineStr">
        <is>
          <t>PO-26119</t>
        </is>
      </c>
      <c r="B120" s="36" t="inlineStr">
        <is>
          <t>Kestrel Office Supply</t>
        </is>
      </c>
      <c r="C120" s="36" t="inlineStr">
        <is>
          <t>IT</t>
        </is>
      </c>
      <c r="D120" s="39" t="n">
        <v>46198</v>
      </c>
      <c r="E120" s="39" t="n">
        <v>46199</v>
      </c>
      <c r="F120" s="39" t="n">
        <v>46213</v>
      </c>
      <c r="G120" s="39" t="n">
        <v>46213</v>
      </c>
      <c r="H120" s="40" t="n">
        <v>15</v>
      </c>
      <c r="I120" s="40" t="n">
        <v>15</v>
      </c>
      <c r="J120" s="40" t="n">
        <v>0</v>
      </c>
      <c r="K120" s="41" t="n">
        <v>618.79</v>
      </c>
      <c r="L120" s="41" t="n">
        <v>656.1900000000001</v>
      </c>
      <c r="M120" s="36" t="inlineStr">
        <is>
          <t>Y</t>
        </is>
      </c>
      <c r="N120" s="36" t="inlineStr">
        <is>
          <t>Y</t>
        </is>
      </c>
      <c r="O120" s="36" t="inlineStr">
        <is>
          <t>N</t>
        </is>
      </c>
      <c r="P120" s="42">
        <f>H120*K120</f>
        <v/>
      </c>
      <c r="Q120" s="42">
        <f>H120*L120</f>
        <v/>
      </c>
      <c r="R120" s="43">
        <f>Q120-P120</f>
        <v/>
      </c>
      <c r="S120" s="44">
        <f>E120-D120</f>
        <v/>
      </c>
      <c r="T120" s="44">
        <f>IF(G120="","",G120-E120)</f>
        <v/>
      </c>
      <c r="U120" s="44">
        <f>IF(G120="","",IF(G120&lt;=F120,1,0))</f>
        <v/>
      </c>
      <c r="V120" s="45">
        <f>DATE(YEAR(E120),MONTH(E120),1)</f>
        <v/>
      </c>
    </row>
    <row r="121">
      <c r="A121" s="36" t="inlineStr">
        <is>
          <t>PO-26120</t>
        </is>
      </c>
      <c r="B121" s="36" t="inlineStr">
        <is>
          <t>Danubia Chemicals</t>
        </is>
      </c>
      <c r="C121" s="36" t="inlineStr">
        <is>
          <t>Raw Materials</t>
        </is>
      </c>
      <c r="D121" s="39" t="n">
        <v>46198</v>
      </c>
      <c r="E121" s="39" t="n">
        <v>46201</v>
      </c>
      <c r="F121" s="39" t="n">
        <v>46220</v>
      </c>
      <c r="G121" s="39" t="n">
        <v>46218</v>
      </c>
      <c r="H121" s="40" t="n">
        <v>432</v>
      </c>
      <c r="I121" s="40" t="n">
        <v>432</v>
      </c>
      <c r="J121" s="40" t="n">
        <v>18</v>
      </c>
      <c r="K121" s="41" t="n">
        <v>29.39</v>
      </c>
      <c r="L121" s="41" t="n">
        <v>32.07</v>
      </c>
      <c r="M121" s="36" t="inlineStr">
        <is>
          <t>Y</t>
        </is>
      </c>
      <c r="N121" s="36" t="inlineStr">
        <is>
          <t>Y</t>
        </is>
      </c>
      <c r="O121" s="36" t="inlineStr">
        <is>
          <t>N</t>
        </is>
      </c>
      <c r="P121" s="42">
        <f>H121*K121</f>
        <v/>
      </c>
      <c r="Q121" s="42">
        <f>H121*L121</f>
        <v/>
      </c>
      <c r="R121" s="43">
        <f>Q121-P121</f>
        <v/>
      </c>
      <c r="S121" s="44">
        <f>E121-D121</f>
        <v/>
      </c>
      <c r="T121" s="44">
        <f>IF(G121="","",G121-E121)</f>
        <v/>
      </c>
      <c r="U121" s="44">
        <f>IF(G121="","",IF(G121&lt;=F121,1,0))</f>
        <v/>
      </c>
      <c r="V121" s="45">
        <f>DATE(YEAR(E121),MONTH(E121),1)</f>
        <v/>
      </c>
    </row>
    <row r="122">
      <c r="A122" s="36" t="inlineStr">
        <is>
          <t>PO-26121</t>
        </is>
      </c>
      <c r="B122" s="36" t="inlineStr">
        <is>
          <t>Kestrel Office Supply</t>
        </is>
      </c>
      <c r="C122" s="36" t="inlineStr">
        <is>
          <t>IT</t>
        </is>
      </c>
      <c r="D122" s="39" t="n">
        <v>46203</v>
      </c>
      <c r="E122" s="39" t="n">
        <v>46205</v>
      </c>
      <c r="F122" s="39" t="n">
        <v>46215</v>
      </c>
      <c r="G122" s="39" t="n">
        <v>46213</v>
      </c>
      <c r="H122" s="40" t="n">
        <v>13</v>
      </c>
      <c r="I122" s="40" t="n">
        <v>13</v>
      </c>
      <c r="J122" s="40" t="n">
        <v>0</v>
      </c>
      <c r="K122" s="41" t="n">
        <v>497.02</v>
      </c>
      <c r="L122" s="41" t="n">
        <v>510.11</v>
      </c>
      <c r="M122" s="36" t="inlineStr">
        <is>
          <t>Y</t>
        </is>
      </c>
      <c r="N122" s="36" t="inlineStr">
        <is>
          <t>Y</t>
        </is>
      </c>
      <c r="O122" s="36" t="inlineStr">
        <is>
          <t>N</t>
        </is>
      </c>
      <c r="P122" s="42">
        <f>H122*K122</f>
        <v/>
      </c>
      <c r="Q122" s="42">
        <f>H122*L122</f>
        <v/>
      </c>
      <c r="R122" s="43">
        <f>Q122-P122</f>
        <v/>
      </c>
      <c r="S122" s="44">
        <f>E122-D122</f>
        <v/>
      </c>
      <c r="T122" s="44">
        <f>IF(G122="","",G122-E122)</f>
        <v/>
      </c>
      <c r="U122" s="44">
        <f>IF(G122="","",IF(G122&lt;=F122,1,0))</f>
        <v/>
      </c>
      <c r="V122" s="45">
        <f>DATE(YEAR(E122),MONTH(E122),1)</f>
        <v/>
      </c>
    </row>
    <row r="123">
      <c r="A123" s="36" t="inlineStr">
        <is>
          <t>PO-26122</t>
        </is>
      </c>
      <c r="B123" s="36" t="inlineStr">
        <is>
          <t>Bluewave Logistics</t>
        </is>
      </c>
      <c r="C123" s="36" t="inlineStr">
        <is>
          <t>Logistics</t>
        </is>
      </c>
      <c r="D123" s="39" t="n">
        <v>46203</v>
      </c>
      <c r="E123" s="39" t="n">
        <v>46208</v>
      </c>
      <c r="F123" s="39" t="n">
        <v>46228</v>
      </c>
      <c r="G123" s="39" t="n">
        <v>46228</v>
      </c>
      <c r="H123" s="40" t="n">
        <v>4</v>
      </c>
      <c r="I123" s="40" t="n">
        <v>4</v>
      </c>
      <c r="J123" s="40" t="n">
        <v>0</v>
      </c>
      <c r="K123" s="41" t="n">
        <v>715.41</v>
      </c>
      <c r="L123" s="41" t="n">
        <v>769.78</v>
      </c>
      <c r="M123" s="36" t="inlineStr">
        <is>
          <t>Y</t>
        </is>
      </c>
      <c r="N123" s="36" t="inlineStr">
        <is>
          <t>Y</t>
        </is>
      </c>
      <c r="O123" s="36" t="inlineStr">
        <is>
          <t>N</t>
        </is>
      </c>
      <c r="P123" s="42">
        <f>H123*K123</f>
        <v/>
      </c>
      <c r="Q123" s="42">
        <f>H123*L123</f>
        <v/>
      </c>
      <c r="R123" s="43">
        <f>Q123-P123</f>
        <v/>
      </c>
      <c r="S123" s="44">
        <f>E123-D123</f>
        <v/>
      </c>
      <c r="T123" s="44">
        <f>IF(G123="","",G123-E123)</f>
        <v/>
      </c>
      <c r="U123" s="44">
        <f>IF(G123="","",IF(G123&lt;=F123,1,0))</f>
        <v/>
      </c>
      <c r="V123" s="45">
        <f>DATE(YEAR(E123),MONTH(E123),1)</f>
        <v/>
      </c>
    </row>
    <row r="124">
      <c r="A124" s="36" t="inlineStr">
        <is>
          <t>PO-26123</t>
        </is>
      </c>
      <c r="B124" s="36" t="inlineStr">
        <is>
          <t>Danubia Chemicals</t>
        </is>
      </c>
      <c r="C124" s="36" t="inlineStr">
        <is>
          <t>Raw Materials</t>
        </is>
      </c>
      <c r="D124" s="39" t="n">
        <v>46206</v>
      </c>
      <c r="E124" s="39" t="n">
        <v>46209</v>
      </c>
      <c r="F124" s="39" t="n">
        <v>46219</v>
      </c>
      <c r="G124" s="39" t="n">
        <v>46224</v>
      </c>
      <c r="H124" s="40" t="n">
        <v>1621</v>
      </c>
      <c r="I124" s="40" t="n">
        <v>1621</v>
      </c>
      <c r="J124" s="40" t="n">
        <v>16</v>
      </c>
      <c r="K124" s="41" t="n">
        <v>24.46</v>
      </c>
      <c r="L124" s="41" t="n">
        <v>25.77</v>
      </c>
      <c r="M124" s="36" t="inlineStr">
        <is>
          <t>Y</t>
        </is>
      </c>
      <c r="N124" s="36" t="inlineStr">
        <is>
          <t>Y</t>
        </is>
      </c>
      <c r="O124" s="36" t="inlineStr">
        <is>
          <t>N</t>
        </is>
      </c>
      <c r="P124" s="42">
        <f>H124*K124</f>
        <v/>
      </c>
      <c r="Q124" s="42">
        <f>H124*L124</f>
        <v/>
      </c>
      <c r="R124" s="43">
        <f>Q124-P124</f>
        <v/>
      </c>
      <c r="S124" s="44">
        <f>E124-D124</f>
        <v/>
      </c>
      <c r="T124" s="44">
        <f>IF(G124="","",G124-E124)</f>
        <v/>
      </c>
      <c r="U124" s="44">
        <f>IF(G124="","",IF(G124&lt;=F124,1,0))</f>
        <v/>
      </c>
      <c r="V124" s="45">
        <f>DATE(YEAR(E124),MONTH(E124),1)</f>
        <v/>
      </c>
    </row>
    <row r="125">
      <c r="A125" s="36" t="inlineStr">
        <is>
          <t>PO-26124</t>
        </is>
      </c>
      <c r="B125" s="36" t="inlineStr">
        <is>
          <t>Kestrel Office Supply</t>
        </is>
      </c>
      <c r="C125" s="36" t="inlineStr">
        <is>
          <t>Office</t>
        </is>
      </c>
      <c r="D125" s="39" t="n">
        <v>46205</v>
      </c>
      <c r="E125" s="39" t="n">
        <v>46211</v>
      </c>
      <c r="F125" s="39" t="n">
        <v>46221</v>
      </c>
      <c r="G125" s="39" t="n">
        <v>46220</v>
      </c>
      <c r="H125" s="40" t="n">
        <v>57</v>
      </c>
      <c r="I125" s="40" t="n">
        <v>57</v>
      </c>
      <c r="J125" s="40" t="n">
        <v>0</v>
      </c>
      <c r="K125" s="41" t="n">
        <v>21.19</v>
      </c>
      <c r="L125" s="41" t="n">
        <v>22.95</v>
      </c>
      <c r="M125" s="36" t="inlineStr">
        <is>
          <t>Y</t>
        </is>
      </c>
      <c r="N125" s="36" t="inlineStr">
        <is>
          <t>Y</t>
        </is>
      </c>
      <c r="O125" s="36" t="inlineStr">
        <is>
          <t>N</t>
        </is>
      </c>
      <c r="P125" s="42">
        <f>H125*K125</f>
        <v/>
      </c>
      <c r="Q125" s="42">
        <f>H125*L125</f>
        <v/>
      </c>
      <c r="R125" s="43">
        <f>Q125-P125</f>
        <v/>
      </c>
      <c r="S125" s="44">
        <f>E125-D125</f>
        <v/>
      </c>
      <c r="T125" s="44">
        <f>IF(G125="","",G125-E125)</f>
        <v/>
      </c>
      <c r="U125" s="44">
        <f>IF(G125="","",IF(G125&lt;=F125,1,0))</f>
        <v/>
      </c>
      <c r="V125" s="45">
        <f>DATE(YEAR(E125),MONTH(E125),1)</f>
        <v/>
      </c>
    </row>
    <row r="126">
      <c r="A126" s="36" t="inlineStr">
        <is>
          <t>PO-26125</t>
        </is>
      </c>
      <c r="B126" s="36" t="inlineStr">
        <is>
          <t>Kestrel Office Supply</t>
        </is>
      </c>
      <c r="C126" s="36" t="inlineStr">
        <is>
          <t>Office</t>
        </is>
      </c>
      <c r="D126" s="39" t="n">
        <v>46211</v>
      </c>
      <c r="E126" s="39" t="n">
        <v>46215</v>
      </c>
      <c r="F126" s="39" t="n">
        <v>46231</v>
      </c>
      <c r="G126" s="39" t="n">
        <v>46237</v>
      </c>
      <c r="H126" s="40" t="n">
        <v>98</v>
      </c>
      <c r="I126" s="40" t="n">
        <v>98</v>
      </c>
      <c r="J126" s="40" t="n">
        <v>1</v>
      </c>
      <c r="K126" s="41" t="n">
        <v>4.9</v>
      </c>
      <c r="L126" s="41" t="n">
        <v>4.48</v>
      </c>
      <c r="M126" s="36" t="inlineStr">
        <is>
          <t>N</t>
        </is>
      </c>
      <c r="N126" s="36" t="inlineStr">
        <is>
          <t>N</t>
        </is>
      </c>
      <c r="O126" s="36" t="inlineStr">
        <is>
          <t>N</t>
        </is>
      </c>
      <c r="P126" s="42">
        <f>H126*K126</f>
        <v/>
      </c>
      <c r="Q126" s="42">
        <f>H126*L126</f>
        <v/>
      </c>
      <c r="R126" s="43">
        <f>Q126-P126</f>
        <v/>
      </c>
      <c r="S126" s="44">
        <f>E126-D126</f>
        <v/>
      </c>
      <c r="T126" s="44">
        <f>IF(G126="","",G126-E126)</f>
        <v/>
      </c>
      <c r="U126" s="44">
        <f>IF(G126="","",IF(G126&lt;=F126,1,0))</f>
        <v/>
      </c>
      <c r="V126" s="45">
        <f>DATE(YEAR(E126),MONTH(E126),1)</f>
        <v/>
      </c>
    </row>
    <row r="127">
      <c r="A127" s="36" t="inlineStr">
        <is>
          <t>PO-26126</t>
        </is>
      </c>
      <c r="B127" s="36" t="inlineStr">
        <is>
          <t>Danubia Chemicals</t>
        </is>
      </c>
      <c r="C127" s="36" t="inlineStr">
        <is>
          <t>Raw Materials</t>
        </is>
      </c>
      <c r="D127" s="39" t="n">
        <v>46210</v>
      </c>
      <c r="E127" s="39" t="n">
        <v>46217</v>
      </c>
      <c r="F127" s="39" t="n">
        <v>46226</v>
      </c>
      <c r="G127" s="39" t="n">
        <v>46235</v>
      </c>
      <c r="H127" s="40" t="n">
        <v>261</v>
      </c>
      <c r="I127" s="40" t="n">
        <v>261</v>
      </c>
      <c r="J127" s="40" t="n">
        <v>11</v>
      </c>
      <c r="K127" s="41" t="n">
        <v>33.43</v>
      </c>
      <c r="L127" s="41" t="n">
        <v>35.66</v>
      </c>
      <c r="M127" s="36" t="inlineStr">
        <is>
          <t>Y</t>
        </is>
      </c>
      <c r="N127" s="36" t="inlineStr">
        <is>
          <t>Y</t>
        </is>
      </c>
      <c r="O127" s="36" t="inlineStr">
        <is>
          <t>N</t>
        </is>
      </c>
      <c r="P127" s="42">
        <f>H127*K127</f>
        <v/>
      </c>
      <c r="Q127" s="42">
        <f>H127*L127</f>
        <v/>
      </c>
      <c r="R127" s="43">
        <f>Q127-P127</f>
        <v/>
      </c>
      <c r="S127" s="44">
        <f>E127-D127</f>
        <v/>
      </c>
      <c r="T127" s="44">
        <f>IF(G127="","",G127-E127)</f>
        <v/>
      </c>
      <c r="U127" s="44">
        <f>IF(G127="","",IF(G127&lt;=F127,1,0))</f>
        <v/>
      </c>
      <c r="V127" s="45">
        <f>DATE(YEAR(E127),MONTH(E127),1)</f>
        <v/>
      </c>
    </row>
    <row r="128">
      <c r="A128" s="36" t="inlineStr">
        <is>
          <t>PO-26127</t>
        </is>
      </c>
      <c r="B128" s="36" t="inlineStr">
        <is>
          <t>Nordline Industrial</t>
        </is>
      </c>
      <c r="C128" s="36" t="inlineStr">
        <is>
          <t>MRO</t>
        </is>
      </c>
      <c r="D128" s="39" t="n">
        <v>46213</v>
      </c>
      <c r="E128" s="39" t="n">
        <v>46218</v>
      </c>
      <c r="F128" s="39" t="n">
        <v>46229</v>
      </c>
      <c r="G128" s="39" t="n">
        <v>46230</v>
      </c>
      <c r="H128" s="40" t="n">
        <v>36</v>
      </c>
      <c r="I128" s="40" t="n">
        <v>36</v>
      </c>
      <c r="J128" s="40" t="n">
        <v>0</v>
      </c>
      <c r="K128" s="41" t="n">
        <v>93.51000000000001</v>
      </c>
      <c r="L128" s="41" t="n">
        <v>103.31</v>
      </c>
      <c r="M128" s="36" t="inlineStr">
        <is>
          <t>Y</t>
        </is>
      </c>
      <c r="N128" s="36" t="inlineStr">
        <is>
          <t>Y</t>
        </is>
      </c>
      <c r="O128" s="36" t="inlineStr">
        <is>
          <t>N</t>
        </is>
      </c>
      <c r="P128" s="42">
        <f>H128*K128</f>
        <v/>
      </c>
      <c r="Q128" s="42">
        <f>H128*L128</f>
        <v/>
      </c>
      <c r="R128" s="43">
        <f>Q128-P128</f>
        <v/>
      </c>
      <c r="S128" s="44">
        <f>E128-D128</f>
        <v/>
      </c>
      <c r="T128" s="44">
        <f>IF(G128="","",G128-E128)</f>
        <v/>
      </c>
      <c r="U128" s="44">
        <f>IF(G128="","",IF(G128&lt;=F128,1,0))</f>
        <v/>
      </c>
      <c r="V128" s="45">
        <f>DATE(YEAR(E128),MONTH(E128),1)</f>
        <v/>
      </c>
    </row>
    <row r="129">
      <c r="A129" s="36" t="inlineStr">
        <is>
          <t>PO-26128</t>
        </is>
      </c>
      <c r="B129" s="36" t="inlineStr">
        <is>
          <t>Bluewave Logistics</t>
        </is>
      </c>
      <c r="C129" s="36" t="inlineStr">
        <is>
          <t>Logistics</t>
        </is>
      </c>
      <c r="D129" s="39" t="n">
        <v>46215</v>
      </c>
      <c r="E129" s="39" t="n">
        <v>46221</v>
      </c>
      <c r="F129" s="39" t="n">
        <v>46229</v>
      </c>
      <c r="G129" s="39" t="n">
        <v>46228</v>
      </c>
      <c r="H129" s="40" t="n">
        <v>2</v>
      </c>
      <c r="I129" s="40" t="n">
        <v>2</v>
      </c>
      <c r="J129" s="40" t="n">
        <v>0</v>
      </c>
      <c r="K129" s="41" t="n">
        <v>385.68</v>
      </c>
      <c r="L129" s="41" t="n">
        <v>420.61</v>
      </c>
      <c r="M129" s="36" t="inlineStr">
        <is>
          <t>Y</t>
        </is>
      </c>
      <c r="N129" s="36" t="inlineStr">
        <is>
          <t>Y</t>
        </is>
      </c>
      <c r="O129" s="36" t="inlineStr">
        <is>
          <t>N</t>
        </is>
      </c>
      <c r="P129" s="42">
        <f>H129*K129</f>
        <v/>
      </c>
      <c r="Q129" s="42">
        <f>H129*L129</f>
        <v/>
      </c>
      <c r="R129" s="43">
        <f>Q129-P129</f>
        <v/>
      </c>
      <c r="S129" s="44">
        <f>E129-D129</f>
        <v/>
      </c>
      <c r="T129" s="44">
        <f>IF(G129="","",G129-E129)</f>
        <v/>
      </c>
      <c r="U129" s="44">
        <f>IF(G129="","",IF(G129&lt;=F129,1,0))</f>
        <v/>
      </c>
      <c r="V129" s="45">
        <f>DATE(YEAR(E129),MONTH(E129),1)</f>
        <v/>
      </c>
    </row>
    <row r="130">
      <c r="A130" s="36" t="inlineStr">
        <is>
          <t>PO-26129</t>
        </is>
      </c>
      <c r="B130" s="36" t="inlineStr">
        <is>
          <t>Kestrel Office Supply</t>
        </is>
      </c>
      <c r="C130" s="36" t="inlineStr">
        <is>
          <t>IT</t>
        </is>
      </c>
      <c r="D130" s="39" t="n">
        <v>46216</v>
      </c>
      <c r="E130" s="39" t="n">
        <v>46222</v>
      </c>
      <c r="F130" s="39" t="n">
        <v>46228</v>
      </c>
      <c r="G130" s="39" t="n">
        <v>46226</v>
      </c>
      <c r="H130" s="40" t="n">
        <v>13</v>
      </c>
      <c r="I130" s="40" t="n">
        <v>13</v>
      </c>
      <c r="J130" s="40" t="n">
        <v>0</v>
      </c>
      <c r="K130" s="41" t="n">
        <v>323.87</v>
      </c>
      <c r="L130" s="41" t="n">
        <v>344.31</v>
      </c>
      <c r="M130" s="36" t="inlineStr">
        <is>
          <t>Y</t>
        </is>
      </c>
      <c r="N130" s="36" t="inlineStr">
        <is>
          <t>Y</t>
        </is>
      </c>
      <c r="O130" s="36" t="inlineStr">
        <is>
          <t>N</t>
        </is>
      </c>
      <c r="P130" s="42">
        <f>H130*K130</f>
        <v/>
      </c>
      <c r="Q130" s="42">
        <f>H130*L130</f>
        <v/>
      </c>
      <c r="R130" s="43">
        <f>Q130-P130</f>
        <v/>
      </c>
      <c r="S130" s="44">
        <f>E130-D130</f>
        <v/>
      </c>
      <c r="T130" s="44">
        <f>IF(G130="","",G130-E130)</f>
        <v/>
      </c>
      <c r="U130" s="44">
        <f>IF(G130="","",IF(G130&lt;=F130,1,0))</f>
        <v/>
      </c>
      <c r="V130" s="45">
        <f>DATE(YEAR(E130),MONTH(E130),1)</f>
        <v/>
      </c>
    </row>
    <row r="131">
      <c r="A131" s="36" t="inlineStr">
        <is>
          <t>PO-26130</t>
        </is>
      </c>
      <c r="B131" s="36" t="inlineStr">
        <is>
          <t>Kestrel Office Supply</t>
        </is>
      </c>
      <c r="C131" s="36" t="inlineStr">
        <is>
          <t>Office</t>
        </is>
      </c>
      <c r="D131" s="39" t="n">
        <v>46220</v>
      </c>
      <c r="E131" s="39" t="n">
        <v>46224</v>
      </c>
      <c r="F131" s="39" t="n">
        <v>46231</v>
      </c>
      <c r="G131" s="39" t="n">
        <v>46231</v>
      </c>
      <c r="H131" s="40" t="n">
        <v>132</v>
      </c>
      <c r="I131" s="40" t="n">
        <v>132</v>
      </c>
      <c r="J131" s="40" t="n">
        <v>1</v>
      </c>
      <c r="K131" s="41" t="n">
        <v>16.12</v>
      </c>
      <c r="L131" s="41" t="n">
        <v>17.89</v>
      </c>
      <c r="M131" s="36" t="inlineStr">
        <is>
          <t>Y</t>
        </is>
      </c>
      <c r="N131" s="36" t="inlineStr">
        <is>
          <t>Y</t>
        </is>
      </c>
      <c r="O131" s="36" t="inlineStr">
        <is>
          <t>N</t>
        </is>
      </c>
      <c r="P131" s="42">
        <f>H131*K131</f>
        <v/>
      </c>
      <c r="Q131" s="42">
        <f>H131*L131</f>
        <v/>
      </c>
      <c r="R131" s="43">
        <f>Q131-P131</f>
        <v/>
      </c>
      <c r="S131" s="44">
        <f>E131-D131</f>
        <v/>
      </c>
      <c r="T131" s="44">
        <f>IF(G131="","",G131-E131)</f>
        <v/>
      </c>
      <c r="U131" s="44">
        <f>IF(G131="","",IF(G131&lt;=F131,1,0))</f>
        <v/>
      </c>
      <c r="V131" s="45">
        <f>DATE(YEAR(E131),MONTH(E131),1)</f>
        <v/>
      </c>
    </row>
    <row r="132">
      <c r="A132" s="36" t="inlineStr">
        <is>
          <t>PO-26131</t>
        </is>
      </c>
      <c r="B132" s="36" t="inlineStr">
        <is>
          <t>Bluewave Logistics</t>
        </is>
      </c>
      <c r="C132" s="36" t="inlineStr">
        <is>
          <t>Logistics</t>
        </is>
      </c>
      <c r="D132" s="39" t="n">
        <v>46220</v>
      </c>
      <c r="E132" s="39" t="n">
        <v>46227</v>
      </c>
      <c r="F132" s="39" t="n">
        <v>46232</v>
      </c>
      <c r="G132" s="39" t="n">
        <v>46231</v>
      </c>
      <c r="H132" s="40" t="n">
        <v>4</v>
      </c>
      <c r="I132" s="40" t="n">
        <v>4</v>
      </c>
      <c r="J132" s="40" t="n">
        <v>0</v>
      </c>
      <c r="K132" s="41" t="n">
        <v>345.02</v>
      </c>
      <c r="L132" s="41" t="n">
        <v>351.16</v>
      </c>
      <c r="M132" s="36" t="inlineStr">
        <is>
          <t>Y</t>
        </is>
      </c>
      <c r="N132" s="36" t="inlineStr">
        <is>
          <t>Y</t>
        </is>
      </c>
      <c r="O132" s="36" t="inlineStr">
        <is>
          <t>N</t>
        </is>
      </c>
      <c r="P132" s="42">
        <f>H132*K132</f>
        <v/>
      </c>
      <c r="Q132" s="42">
        <f>H132*L132</f>
        <v/>
      </c>
      <c r="R132" s="43">
        <f>Q132-P132</f>
        <v/>
      </c>
      <c r="S132" s="44">
        <f>E132-D132</f>
        <v/>
      </c>
      <c r="T132" s="44">
        <f>IF(G132="","",G132-E132)</f>
        <v/>
      </c>
      <c r="U132" s="44">
        <f>IF(G132="","",IF(G132&lt;=F132,1,0))</f>
        <v/>
      </c>
      <c r="V132" s="45">
        <f>DATE(YEAR(E132),MONTH(E132),1)</f>
        <v/>
      </c>
    </row>
    <row r="133">
      <c r="A133" s="36" t="inlineStr">
        <is>
          <t>PO-26132</t>
        </is>
      </c>
      <c r="B133" s="36" t="inlineStr">
        <is>
          <t>Kestrel Office Supply</t>
        </is>
      </c>
      <c r="C133" s="36" t="inlineStr">
        <is>
          <t>IT</t>
        </is>
      </c>
      <c r="D133" s="39" t="n">
        <v>46221</v>
      </c>
      <c r="E133" s="39" t="n">
        <v>46230</v>
      </c>
      <c r="F133" s="39" t="n">
        <v>46243</v>
      </c>
      <c r="G133" s="39" t="n">
        <v>46243</v>
      </c>
      <c r="H133" s="40" t="n">
        <v>24</v>
      </c>
      <c r="I133" s="40" t="n">
        <v>24</v>
      </c>
      <c r="J133" s="40" t="n">
        <v>1</v>
      </c>
      <c r="K133" s="41" t="n">
        <v>609.41</v>
      </c>
      <c r="L133" s="41" t="n">
        <v>656.25</v>
      </c>
      <c r="M133" s="36" t="inlineStr">
        <is>
          <t>Y</t>
        </is>
      </c>
      <c r="N133" s="36" t="inlineStr">
        <is>
          <t>Y</t>
        </is>
      </c>
      <c r="O133" s="36" t="inlineStr">
        <is>
          <t>N</t>
        </is>
      </c>
      <c r="P133" s="42">
        <f>H133*K133</f>
        <v/>
      </c>
      <c r="Q133" s="42">
        <f>H133*L133</f>
        <v/>
      </c>
      <c r="R133" s="43">
        <f>Q133-P133</f>
        <v/>
      </c>
      <c r="S133" s="44">
        <f>E133-D133</f>
        <v/>
      </c>
      <c r="T133" s="44">
        <f>IF(G133="","",G133-E133)</f>
        <v/>
      </c>
      <c r="U133" s="44">
        <f>IF(G133="","",IF(G133&lt;=F133,1,0))</f>
        <v/>
      </c>
      <c r="V133" s="45">
        <f>DATE(YEAR(E133),MONTH(E133),1)</f>
        <v/>
      </c>
    </row>
    <row r="134">
      <c r="A134" s="36" t="inlineStr">
        <is>
          <t>PO-26133</t>
        </is>
      </c>
      <c r="B134" s="36" t="inlineStr">
        <is>
          <t>Kestrel Office Supply</t>
        </is>
      </c>
      <c r="C134" s="36" t="inlineStr">
        <is>
          <t>Office</t>
        </is>
      </c>
      <c r="D134" s="39" t="n">
        <v>46226</v>
      </c>
      <c r="E134" s="39" t="n">
        <v>46233</v>
      </c>
      <c r="F134" s="39" t="n">
        <v>46239</v>
      </c>
      <c r="G134" s="39" t="n">
        <v>46237</v>
      </c>
      <c r="H134" s="40" t="n">
        <v>193</v>
      </c>
      <c r="I134" s="40" t="n">
        <v>193</v>
      </c>
      <c r="J134" s="40" t="n">
        <v>1</v>
      </c>
      <c r="K134" s="41" t="n">
        <v>11.42</v>
      </c>
      <c r="L134" s="41" t="n">
        <v>11.75</v>
      </c>
      <c r="M134" s="36" t="inlineStr">
        <is>
          <t>Y</t>
        </is>
      </c>
      <c r="N134" s="36" t="inlineStr">
        <is>
          <t>Y</t>
        </is>
      </c>
      <c r="O134" s="36" t="inlineStr">
        <is>
          <t>N</t>
        </is>
      </c>
      <c r="P134" s="42">
        <f>H134*K134</f>
        <v/>
      </c>
      <c r="Q134" s="42">
        <f>H134*L134</f>
        <v/>
      </c>
      <c r="R134" s="43">
        <f>Q134-P134</f>
        <v/>
      </c>
      <c r="S134" s="44">
        <f>E134-D134</f>
        <v/>
      </c>
      <c r="T134" s="44">
        <f>IF(G134="","",G134-E134)</f>
        <v/>
      </c>
      <c r="U134" s="44">
        <f>IF(G134="","",IF(G134&lt;=F134,1,0))</f>
        <v/>
      </c>
      <c r="V134" s="45">
        <f>DATE(YEAR(E134),MONTH(E134),1)</f>
        <v/>
      </c>
    </row>
    <row r="135">
      <c r="A135" s="36" t="inlineStr">
        <is>
          <t>PO-26134</t>
        </is>
      </c>
      <c r="B135" s="36" t="inlineStr">
        <is>
          <t>Nordline Industrial</t>
        </is>
      </c>
      <c r="C135" s="36" t="inlineStr">
        <is>
          <t>MRO</t>
        </is>
      </c>
      <c r="D135" s="39" t="n">
        <v>46230</v>
      </c>
      <c r="E135" s="39" t="n">
        <v>46233</v>
      </c>
      <c r="F135" s="39" t="n">
        <v>46251</v>
      </c>
      <c r="G135" s="39" t="n">
        <v>46250</v>
      </c>
      <c r="H135" s="40" t="n">
        <v>44</v>
      </c>
      <c r="I135" s="40" t="n">
        <v>44</v>
      </c>
      <c r="J135" s="40" t="n">
        <v>2</v>
      </c>
      <c r="K135" s="41" t="n">
        <v>114.74</v>
      </c>
      <c r="L135" s="41" t="n">
        <v>116.62</v>
      </c>
      <c r="M135" s="36" t="inlineStr">
        <is>
          <t>Y</t>
        </is>
      </c>
      <c r="N135" s="36" t="inlineStr">
        <is>
          <t>Y</t>
        </is>
      </c>
      <c r="O135" s="36" t="inlineStr">
        <is>
          <t>N</t>
        </is>
      </c>
      <c r="P135" s="42">
        <f>H135*K135</f>
        <v/>
      </c>
      <c r="Q135" s="42">
        <f>H135*L135</f>
        <v/>
      </c>
      <c r="R135" s="43">
        <f>Q135-P135</f>
        <v/>
      </c>
      <c r="S135" s="44">
        <f>E135-D135</f>
        <v/>
      </c>
      <c r="T135" s="44">
        <f>IF(G135="","",G135-E135)</f>
        <v/>
      </c>
      <c r="U135" s="44">
        <f>IF(G135="","",IF(G135&lt;=F135,1,0))</f>
        <v/>
      </c>
      <c r="V135" s="45">
        <f>DATE(YEAR(E135),MONTH(E135),1)</f>
        <v/>
      </c>
    </row>
    <row r="136">
      <c r="A136" s="36" t="inlineStr">
        <is>
          <t>PO-26135</t>
        </is>
      </c>
      <c r="B136" s="36" t="inlineStr">
        <is>
          <t>Nordline Industrial</t>
        </is>
      </c>
      <c r="C136" s="36" t="inlineStr">
        <is>
          <t>Raw Materials</t>
        </is>
      </c>
      <c r="D136" s="39" t="n">
        <v>46228</v>
      </c>
      <c r="E136" s="39" t="n">
        <v>46237</v>
      </c>
      <c r="F136" s="39" t="n">
        <v>46256</v>
      </c>
      <c r="G136" s="39" t="n">
        <v>46262</v>
      </c>
      <c r="H136" s="40" t="n">
        <v>800</v>
      </c>
      <c r="I136" s="40" t="n">
        <v>800</v>
      </c>
      <c r="J136" s="40" t="n">
        <v>6</v>
      </c>
      <c r="K136" s="41" t="n">
        <v>16.57</v>
      </c>
      <c r="L136" s="41" t="n">
        <v>16.92</v>
      </c>
      <c r="M136" s="36" t="inlineStr">
        <is>
          <t>Y</t>
        </is>
      </c>
      <c r="N136" s="36" t="inlineStr">
        <is>
          <t>Y</t>
        </is>
      </c>
      <c r="O136" s="36" t="inlineStr">
        <is>
          <t>N</t>
        </is>
      </c>
      <c r="P136" s="42">
        <f>H136*K136</f>
        <v/>
      </c>
      <c r="Q136" s="42">
        <f>H136*L136</f>
        <v/>
      </c>
      <c r="R136" s="43">
        <f>Q136-P136</f>
        <v/>
      </c>
      <c r="S136" s="44">
        <f>E136-D136</f>
        <v/>
      </c>
      <c r="T136" s="44">
        <f>IF(G136="","",G136-E136)</f>
        <v/>
      </c>
      <c r="U136" s="44">
        <f>IF(G136="","",IF(G136&lt;=F136,1,0))</f>
        <v/>
      </c>
      <c r="V136" s="45">
        <f>DATE(YEAR(E136),MONTH(E136),1)</f>
        <v/>
      </c>
    </row>
    <row r="137">
      <c r="A137" s="36" t="inlineStr">
        <is>
          <t>PO-26136</t>
        </is>
      </c>
      <c r="B137" s="36" t="inlineStr">
        <is>
          <t>Adria Packaging</t>
        </is>
      </c>
      <c r="C137" s="36" t="inlineStr">
        <is>
          <t>Packaging</t>
        </is>
      </c>
      <c r="D137" s="39" t="n">
        <v>46237</v>
      </c>
      <c r="E137" s="39" t="n">
        <v>46240</v>
      </c>
      <c r="F137" s="39" t="n">
        <v>46255</v>
      </c>
      <c r="G137" s="39" t="n">
        <v>46255</v>
      </c>
      <c r="H137" s="40" t="n">
        <v>2414</v>
      </c>
      <c r="I137" s="40" t="n">
        <v>2414</v>
      </c>
      <c r="J137" s="40" t="n">
        <v>3</v>
      </c>
      <c r="K137" s="41" t="n">
        <v>1.81</v>
      </c>
      <c r="L137" s="41" t="n">
        <v>1.84</v>
      </c>
      <c r="M137" s="36" t="inlineStr">
        <is>
          <t>Y</t>
        </is>
      </c>
      <c r="N137" s="36" t="inlineStr">
        <is>
          <t>Y</t>
        </is>
      </c>
      <c r="O137" s="36" t="inlineStr">
        <is>
          <t>N</t>
        </is>
      </c>
      <c r="P137" s="42">
        <f>H137*K137</f>
        <v/>
      </c>
      <c r="Q137" s="42">
        <f>H137*L137</f>
        <v/>
      </c>
      <c r="R137" s="43">
        <f>Q137-P137</f>
        <v/>
      </c>
      <c r="S137" s="44">
        <f>E137-D137</f>
        <v/>
      </c>
      <c r="T137" s="44">
        <f>IF(G137="","",G137-E137)</f>
        <v/>
      </c>
      <c r="U137" s="44">
        <f>IF(G137="","",IF(G137&lt;=F137,1,0))</f>
        <v/>
      </c>
      <c r="V137" s="45">
        <f>DATE(YEAR(E137),MONTH(E137),1)</f>
        <v/>
      </c>
    </row>
    <row r="138">
      <c r="A138" s="36" t="inlineStr">
        <is>
          <t>PO-26137</t>
        </is>
      </c>
      <c r="B138" s="36" t="inlineStr">
        <is>
          <t>Danubia Chemicals</t>
        </is>
      </c>
      <c r="C138" s="36" t="inlineStr">
        <is>
          <t>Raw Materials</t>
        </is>
      </c>
      <c r="D138" s="39" t="n">
        <v>46235</v>
      </c>
      <c r="E138" s="39" t="n">
        <v>46240</v>
      </c>
      <c r="F138" s="39" t="n">
        <v>46250</v>
      </c>
      <c r="G138" s="39" t="n">
        <v>46248</v>
      </c>
      <c r="H138" s="40" t="n">
        <v>1936</v>
      </c>
      <c r="I138" s="40" t="n">
        <v>1936</v>
      </c>
      <c r="J138" s="40" t="n">
        <v>13</v>
      </c>
      <c r="K138" s="41" t="n">
        <v>35.17</v>
      </c>
      <c r="L138" s="41" t="n">
        <v>36.47</v>
      </c>
      <c r="M138" s="36" t="inlineStr">
        <is>
          <t>Y</t>
        </is>
      </c>
      <c r="N138" s="36" t="inlineStr">
        <is>
          <t>Y</t>
        </is>
      </c>
      <c r="O138" s="36" t="inlineStr">
        <is>
          <t>N</t>
        </is>
      </c>
      <c r="P138" s="42">
        <f>H138*K138</f>
        <v/>
      </c>
      <c r="Q138" s="42">
        <f>H138*L138</f>
        <v/>
      </c>
      <c r="R138" s="43">
        <f>Q138-P138</f>
        <v/>
      </c>
      <c r="S138" s="44">
        <f>E138-D138</f>
        <v/>
      </c>
      <c r="T138" s="44">
        <f>IF(G138="","",G138-E138)</f>
        <v/>
      </c>
      <c r="U138" s="44">
        <f>IF(G138="","",IF(G138&lt;=F138,1,0))</f>
        <v/>
      </c>
      <c r="V138" s="45">
        <f>DATE(YEAR(E138),MONTH(E138),1)</f>
        <v/>
      </c>
    </row>
    <row r="139">
      <c r="A139" s="36" t="inlineStr">
        <is>
          <t>PO-26138</t>
        </is>
      </c>
      <c r="B139" s="36" t="inlineStr">
        <is>
          <t>Danubia Chemicals</t>
        </is>
      </c>
      <c r="C139" s="36" t="inlineStr">
        <is>
          <t>Raw Materials</t>
        </is>
      </c>
      <c r="D139" s="39" t="n">
        <v>46241</v>
      </c>
      <c r="E139" s="39" t="n">
        <v>46243</v>
      </c>
      <c r="F139" s="39" t="n">
        <v>46261</v>
      </c>
      <c r="G139" s="39" t="n">
        <v>46261</v>
      </c>
      <c r="H139" s="40" t="n">
        <v>1832</v>
      </c>
      <c r="I139" s="40" t="n">
        <v>1832</v>
      </c>
      <c r="J139" s="40" t="n">
        <v>15</v>
      </c>
      <c r="K139" s="41" t="n">
        <v>10.56</v>
      </c>
      <c r="L139" s="41" t="n">
        <v>11.07</v>
      </c>
      <c r="M139" s="36" t="inlineStr">
        <is>
          <t>Y</t>
        </is>
      </c>
      <c r="N139" s="36" t="inlineStr">
        <is>
          <t>Y</t>
        </is>
      </c>
      <c r="O139" s="36" t="inlineStr">
        <is>
          <t>N</t>
        </is>
      </c>
      <c r="P139" s="42">
        <f>H139*K139</f>
        <v/>
      </c>
      <c r="Q139" s="42">
        <f>H139*L139</f>
        <v/>
      </c>
      <c r="R139" s="43">
        <f>Q139-P139</f>
        <v/>
      </c>
      <c r="S139" s="44">
        <f>E139-D139</f>
        <v/>
      </c>
      <c r="T139" s="44">
        <f>IF(G139="","",G139-E139)</f>
        <v/>
      </c>
      <c r="U139" s="44">
        <f>IF(G139="","",IF(G139&lt;=F139,1,0))</f>
        <v/>
      </c>
      <c r="V139" s="45">
        <f>DATE(YEAR(E139),MONTH(E139),1)</f>
        <v/>
      </c>
    </row>
    <row r="140">
      <c r="A140" s="36" t="inlineStr">
        <is>
          <t>PO-26139</t>
        </is>
      </c>
      <c r="B140" s="36" t="inlineStr">
        <is>
          <t>Adria Packaging</t>
        </is>
      </c>
      <c r="C140" s="36" t="inlineStr">
        <is>
          <t>Packaging</t>
        </is>
      </c>
      <c r="D140" s="39" t="n">
        <v>46242</v>
      </c>
      <c r="E140" s="39" t="n">
        <v>46245</v>
      </c>
      <c r="F140" s="39" t="n">
        <v>46265</v>
      </c>
      <c r="G140" s="39" t="n">
        <v>46263</v>
      </c>
      <c r="H140" s="40" t="n">
        <v>5839</v>
      </c>
      <c r="I140" s="40" t="n">
        <v>5839</v>
      </c>
      <c r="J140" s="40" t="n">
        <v>4</v>
      </c>
      <c r="K140" s="41" t="n">
        <v>0.49</v>
      </c>
      <c r="L140" s="41" t="n">
        <v>0.52</v>
      </c>
      <c r="M140" s="36" t="inlineStr">
        <is>
          <t>Y</t>
        </is>
      </c>
      <c r="N140" s="36" t="inlineStr">
        <is>
          <t>Y</t>
        </is>
      </c>
      <c r="O140" s="36" t="inlineStr">
        <is>
          <t>N</t>
        </is>
      </c>
      <c r="P140" s="42">
        <f>H140*K140</f>
        <v/>
      </c>
      <c r="Q140" s="42">
        <f>H140*L140</f>
        <v/>
      </c>
      <c r="R140" s="43">
        <f>Q140-P140</f>
        <v/>
      </c>
      <c r="S140" s="44">
        <f>E140-D140</f>
        <v/>
      </c>
      <c r="T140" s="44">
        <f>IF(G140="","",G140-E140)</f>
        <v/>
      </c>
      <c r="U140" s="44">
        <f>IF(G140="","",IF(G140&lt;=F140,1,0))</f>
        <v/>
      </c>
      <c r="V140" s="45">
        <f>DATE(YEAR(E140),MONTH(E140),1)</f>
        <v/>
      </c>
    </row>
    <row r="141">
      <c r="A141" s="36" t="inlineStr">
        <is>
          <t>PO-26140</t>
        </is>
      </c>
      <c r="B141" s="36" t="inlineStr">
        <is>
          <t>Kestrel Office Supply</t>
        </is>
      </c>
      <c r="C141" s="36" t="inlineStr">
        <is>
          <t>Office</t>
        </is>
      </c>
      <c r="D141" s="39" t="n">
        <v>46246</v>
      </c>
      <c r="E141" s="39" t="n">
        <v>46248</v>
      </c>
      <c r="F141" s="39" t="n">
        <v>46263</v>
      </c>
      <c r="G141" s="39" t="n">
        <v>46271</v>
      </c>
      <c r="H141" s="40" t="n">
        <v>67</v>
      </c>
      <c r="I141" s="40" t="n">
        <v>67</v>
      </c>
      <c r="J141" s="40" t="n">
        <v>1</v>
      </c>
      <c r="K141" s="41" t="n">
        <v>15.16</v>
      </c>
      <c r="L141" s="41" t="n">
        <v>14.67</v>
      </c>
      <c r="M141" s="36" t="inlineStr">
        <is>
          <t>N</t>
        </is>
      </c>
      <c r="N141" s="36" t="inlineStr">
        <is>
          <t>N</t>
        </is>
      </c>
      <c r="O141" s="36" t="inlineStr">
        <is>
          <t>N</t>
        </is>
      </c>
      <c r="P141" s="42">
        <f>H141*K141</f>
        <v/>
      </c>
      <c r="Q141" s="42">
        <f>H141*L141</f>
        <v/>
      </c>
      <c r="R141" s="43">
        <f>Q141-P141</f>
        <v/>
      </c>
      <c r="S141" s="44">
        <f>E141-D141</f>
        <v/>
      </c>
      <c r="T141" s="44">
        <f>IF(G141="","",G141-E141)</f>
        <v/>
      </c>
      <c r="U141" s="44">
        <f>IF(G141="","",IF(G141&lt;=F141,1,0))</f>
        <v/>
      </c>
      <c r="V141" s="45">
        <f>DATE(YEAR(E141),MONTH(E141),1)</f>
        <v/>
      </c>
    </row>
    <row r="142">
      <c r="A142" s="36" t="inlineStr">
        <is>
          <t>PO-26141</t>
        </is>
      </c>
      <c r="B142" s="36" t="inlineStr">
        <is>
          <t>Danubia Chemicals</t>
        </is>
      </c>
      <c r="C142" s="36" t="inlineStr">
        <is>
          <t>Raw Materials</t>
        </is>
      </c>
      <c r="D142" s="39" t="n">
        <v>46245</v>
      </c>
      <c r="E142" s="39" t="n">
        <v>46249</v>
      </c>
      <c r="F142" s="39" t="n">
        <v>46258</v>
      </c>
      <c r="G142" s="39" t="n">
        <v>46257</v>
      </c>
      <c r="H142" s="40" t="n">
        <v>1547</v>
      </c>
      <c r="I142" s="40" t="n">
        <v>1547</v>
      </c>
      <c r="J142" s="40" t="n">
        <v>15</v>
      </c>
      <c r="K142" s="41" t="n">
        <v>21.12</v>
      </c>
      <c r="L142" s="41" t="n">
        <v>21.58</v>
      </c>
      <c r="M142" s="36" t="inlineStr">
        <is>
          <t>Y</t>
        </is>
      </c>
      <c r="N142" s="36" t="inlineStr">
        <is>
          <t>Y</t>
        </is>
      </c>
      <c r="O142" s="36" t="inlineStr">
        <is>
          <t>N</t>
        </is>
      </c>
      <c r="P142" s="42">
        <f>H142*K142</f>
        <v/>
      </c>
      <c r="Q142" s="42">
        <f>H142*L142</f>
        <v/>
      </c>
      <c r="R142" s="43">
        <f>Q142-P142</f>
        <v/>
      </c>
      <c r="S142" s="44">
        <f>E142-D142</f>
        <v/>
      </c>
      <c r="T142" s="44">
        <f>IF(G142="","",G142-E142)</f>
        <v/>
      </c>
      <c r="U142" s="44">
        <f>IF(G142="","",IF(G142&lt;=F142,1,0))</f>
        <v/>
      </c>
      <c r="V142" s="45">
        <f>DATE(YEAR(E142),MONTH(E142),1)</f>
        <v/>
      </c>
    </row>
    <row r="143">
      <c r="A143" s="36" t="inlineStr">
        <is>
          <t>PO-26142</t>
        </is>
      </c>
      <c r="B143" s="36" t="inlineStr">
        <is>
          <t>Kestrel Office Supply</t>
        </is>
      </c>
      <c r="C143" s="36" t="inlineStr">
        <is>
          <t>IT</t>
        </is>
      </c>
      <c r="D143" s="39" t="n">
        <v>46252</v>
      </c>
      <c r="E143" s="39" t="n">
        <v>46253</v>
      </c>
      <c r="F143" s="39" t="n">
        <v>46255</v>
      </c>
      <c r="G143" s="39" t="n">
        <v>46254</v>
      </c>
      <c r="H143" s="40" t="n">
        <v>13</v>
      </c>
      <c r="I143" s="40" t="n">
        <v>13</v>
      </c>
      <c r="J143" s="40" t="n">
        <v>0</v>
      </c>
      <c r="K143" s="41" t="n">
        <v>561.41</v>
      </c>
      <c r="L143" s="41" t="n">
        <v>575.87</v>
      </c>
      <c r="M143" s="36" t="inlineStr">
        <is>
          <t>Y</t>
        </is>
      </c>
      <c r="N143" s="36" t="inlineStr">
        <is>
          <t>Y</t>
        </is>
      </c>
      <c r="O143" s="36" t="inlineStr">
        <is>
          <t>Y</t>
        </is>
      </c>
      <c r="P143" s="42">
        <f>H143*K143</f>
        <v/>
      </c>
      <c r="Q143" s="42">
        <f>H143*L143</f>
        <v/>
      </c>
      <c r="R143" s="43">
        <f>Q143-P143</f>
        <v/>
      </c>
      <c r="S143" s="44">
        <f>E143-D143</f>
        <v/>
      </c>
      <c r="T143" s="44">
        <f>IF(G143="","",G143-E143)</f>
        <v/>
      </c>
      <c r="U143" s="44">
        <f>IF(G143="","",IF(G143&lt;=F143,1,0))</f>
        <v/>
      </c>
      <c r="V143" s="45">
        <f>DATE(YEAR(E143),MONTH(E143),1)</f>
        <v/>
      </c>
    </row>
    <row r="144">
      <c r="A144" s="36" t="inlineStr">
        <is>
          <t>PO-26143</t>
        </is>
      </c>
      <c r="B144" s="36" t="inlineStr">
        <is>
          <t>Danubia Chemicals</t>
        </is>
      </c>
      <c r="C144" s="36" t="inlineStr">
        <is>
          <t>Raw Materials</t>
        </is>
      </c>
      <c r="D144" s="39" t="n">
        <v>46255</v>
      </c>
      <c r="E144" s="39" t="n">
        <v>46256</v>
      </c>
      <c r="F144" s="39" t="n">
        <v>46266</v>
      </c>
      <c r="G144" s="39" t="n">
        <v>46265</v>
      </c>
      <c r="H144" s="40" t="n">
        <v>1114</v>
      </c>
      <c r="I144" s="40" t="n">
        <v>1114</v>
      </c>
      <c r="J144" s="40" t="n">
        <v>12</v>
      </c>
      <c r="K144" s="41" t="n">
        <v>14.82</v>
      </c>
      <c r="L144" s="41" t="n">
        <v>16.43</v>
      </c>
      <c r="M144" s="36" t="inlineStr">
        <is>
          <t>Y</t>
        </is>
      </c>
      <c r="N144" s="36" t="inlineStr">
        <is>
          <t>Y</t>
        </is>
      </c>
      <c r="O144" s="36" t="inlineStr">
        <is>
          <t>N</t>
        </is>
      </c>
      <c r="P144" s="42">
        <f>H144*K144</f>
        <v/>
      </c>
      <c r="Q144" s="42">
        <f>H144*L144</f>
        <v/>
      </c>
      <c r="R144" s="43">
        <f>Q144-P144</f>
        <v/>
      </c>
      <c r="S144" s="44">
        <f>E144-D144</f>
        <v/>
      </c>
      <c r="T144" s="44">
        <f>IF(G144="","",G144-E144)</f>
        <v/>
      </c>
      <c r="U144" s="44">
        <f>IF(G144="","",IF(G144&lt;=F144,1,0))</f>
        <v/>
      </c>
      <c r="V144" s="45">
        <f>DATE(YEAR(E144),MONTH(E144),1)</f>
        <v/>
      </c>
    </row>
    <row r="145">
      <c r="A145" s="36" t="inlineStr">
        <is>
          <t>PO-26144</t>
        </is>
      </c>
      <c r="B145" s="36" t="inlineStr">
        <is>
          <t>Danubia Chemicals</t>
        </is>
      </c>
      <c r="C145" s="36" t="inlineStr">
        <is>
          <t>Raw Materials</t>
        </is>
      </c>
      <c r="D145" s="39" t="n">
        <v>46252</v>
      </c>
      <c r="E145" s="39" t="n">
        <v>46258</v>
      </c>
      <c r="F145" s="39" t="n">
        <v>46265</v>
      </c>
      <c r="G145" s="39" t="n">
        <v>46272</v>
      </c>
      <c r="H145" s="40" t="n">
        <v>877</v>
      </c>
      <c r="I145" s="40" t="n">
        <v>877</v>
      </c>
      <c r="J145" s="40" t="n">
        <v>11</v>
      </c>
      <c r="K145" s="41" t="n">
        <v>21.75</v>
      </c>
      <c r="L145" s="41" t="n">
        <v>23.14</v>
      </c>
      <c r="M145" s="36" t="inlineStr">
        <is>
          <t>Y</t>
        </is>
      </c>
      <c r="N145" s="36" t="inlineStr">
        <is>
          <t>Y</t>
        </is>
      </c>
      <c r="O145" s="36" t="inlineStr">
        <is>
          <t>N</t>
        </is>
      </c>
      <c r="P145" s="42">
        <f>H145*K145</f>
        <v/>
      </c>
      <c r="Q145" s="42">
        <f>H145*L145</f>
        <v/>
      </c>
      <c r="R145" s="43">
        <f>Q145-P145</f>
        <v/>
      </c>
      <c r="S145" s="44">
        <f>E145-D145</f>
        <v/>
      </c>
      <c r="T145" s="44">
        <f>IF(G145="","",G145-E145)</f>
        <v/>
      </c>
      <c r="U145" s="44">
        <f>IF(G145="","",IF(G145&lt;=F145,1,0))</f>
        <v/>
      </c>
      <c r="V145" s="45">
        <f>DATE(YEAR(E145),MONTH(E145),1)</f>
        <v/>
      </c>
    </row>
    <row r="146">
      <c r="A146" s="36" t="inlineStr">
        <is>
          <t>PO-26145</t>
        </is>
      </c>
      <c r="B146" s="36" t="inlineStr">
        <is>
          <t>Bluewave Logistics</t>
        </is>
      </c>
      <c r="C146" s="36" t="inlineStr">
        <is>
          <t>Logistics</t>
        </is>
      </c>
      <c r="D146" s="39" t="n">
        <v>46253</v>
      </c>
      <c r="E146" s="39" t="n">
        <v>46258</v>
      </c>
      <c r="F146" s="39" t="n">
        <v>46275</v>
      </c>
      <c r="G146" s="39" t="n">
        <v>46273</v>
      </c>
      <c r="H146" s="40" t="n">
        <v>2</v>
      </c>
      <c r="I146" s="40" t="n">
        <v>2</v>
      </c>
      <c r="J146" s="40" t="n">
        <v>0</v>
      </c>
      <c r="K146" s="41" t="n">
        <v>318.09</v>
      </c>
      <c r="L146" s="41" t="n">
        <v>343.66</v>
      </c>
      <c r="M146" s="36" t="inlineStr">
        <is>
          <t>Y</t>
        </is>
      </c>
      <c r="N146" s="36" t="inlineStr">
        <is>
          <t>Y</t>
        </is>
      </c>
      <c r="O146" s="36" t="inlineStr">
        <is>
          <t>N</t>
        </is>
      </c>
      <c r="P146" s="42">
        <f>H146*K146</f>
        <v/>
      </c>
      <c r="Q146" s="42">
        <f>H146*L146</f>
        <v/>
      </c>
      <c r="R146" s="43">
        <f>Q146-P146</f>
        <v/>
      </c>
      <c r="S146" s="44">
        <f>E146-D146</f>
        <v/>
      </c>
      <c r="T146" s="44">
        <f>IF(G146="","",G146-E146)</f>
        <v/>
      </c>
      <c r="U146" s="44">
        <f>IF(G146="","",IF(G146&lt;=F146,1,0))</f>
        <v/>
      </c>
      <c r="V146" s="45">
        <f>DATE(YEAR(E146),MONTH(E146),1)</f>
        <v/>
      </c>
    </row>
    <row r="147">
      <c r="A147" s="36" t="inlineStr">
        <is>
          <t>PO-26146</t>
        </is>
      </c>
      <c r="B147" s="36" t="inlineStr">
        <is>
          <t>Kestrel Office Supply</t>
        </is>
      </c>
      <c r="C147" s="36" t="inlineStr">
        <is>
          <t>Office</t>
        </is>
      </c>
      <c r="D147" s="39" t="n">
        <v>46257</v>
      </c>
      <c r="E147" s="39" t="n">
        <v>46262</v>
      </c>
      <c r="F147" s="39" t="n">
        <v>46279</v>
      </c>
      <c r="G147" s="39" t="n">
        <v>46279</v>
      </c>
      <c r="H147" s="40" t="n">
        <v>169</v>
      </c>
      <c r="I147" s="40" t="n">
        <v>169</v>
      </c>
      <c r="J147" s="40" t="n">
        <v>0</v>
      </c>
      <c r="K147" s="41" t="n">
        <v>21.58</v>
      </c>
      <c r="L147" s="41" t="n">
        <v>23.37</v>
      </c>
      <c r="M147" s="36" t="inlineStr">
        <is>
          <t>Y</t>
        </is>
      </c>
      <c r="N147" s="36" t="inlineStr">
        <is>
          <t>Y</t>
        </is>
      </c>
      <c r="O147" s="36" t="inlineStr">
        <is>
          <t>N</t>
        </is>
      </c>
      <c r="P147" s="42">
        <f>H147*K147</f>
        <v/>
      </c>
      <c r="Q147" s="42">
        <f>H147*L147</f>
        <v/>
      </c>
      <c r="R147" s="43">
        <f>Q147-P147</f>
        <v/>
      </c>
      <c r="S147" s="44">
        <f>E147-D147</f>
        <v/>
      </c>
      <c r="T147" s="44">
        <f>IF(G147="","",G147-E147)</f>
        <v/>
      </c>
      <c r="U147" s="44">
        <f>IF(G147="","",IF(G147&lt;=F147,1,0))</f>
        <v/>
      </c>
      <c r="V147" s="45">
        <f>DATE(YEAR(E147),MONTH(E147),1)</f>
        <v/>
      </c>
    </row>
    <row r="148">
      <c r="A148" s="36" t="inlineStr">
        <is>
          <t>PO-26147</t>
        </is>
      </c>
      <c r="B148" s="36" t="inlineStr">
        <is>
          <t>Kestrel Office Supply</t>
        </is>
      </c>
      <c r="C148" s="36" t="inlineStr">
        <is>
          <t>IT</t>
        </is>
      </c>
      <c r="D148" s="39" t="n">
        <v>46262</v>
      </c>
      <c r="E148" s="39" t="n">
        <v>46263</v>
      </c>
      <c r="F148" s="39" t="n">
        <v>46267</v>
      </c>
      <c r="G148" s="39" t="n">
        <v>46266</v>
      </c>
      <c r="H148" s="40" t="n">
        <v>24</v>
      </c>
      <c r="I148" s="40" t="n">
        <v>24</v>
      </c>
      <c r="J148" s="40" t="n">
        <v>0</v>
      </c>
      <c r="K148" s="41" t="n">
        <v>121.32</v>
      </c>
      <c r="L148" s="41" t="n">
        <v>131.92</v>
      </c>
      <c r="M148" s="36" t="inlineStr">
        <is>
          <t>Y</t>
        </is>
      </c>
      <c r="N148" s="36" t="inlineStr">
        <is>
          <t>Y</t>
        </is>
      </c>
      <c r="O148" s="36" t="inlineStr">
        <is>
          <t>Y</t>
        </is>
      </c>
      <c r="P148" s="42">
        <f>H148*K148</f>
        <v/>
      </c>
      <c r="Q148" s="42">
        <f>H148*L148</f>
        <v/>
      </c>
      <c r="R148" s="43">
        <f>Q148-P148</f>
        <v/>
      </c>
      <c r="S148" s="44">
        <f>E148-D148</f>
        <v/>
      </c>
      <c r="T148" s="44">
        <f>IF(G148="","",G148-E148)</f>
        <v/>
      </c>
      <c r="U148" s="44">
        <f>IF(G148="","",IF(G148&lt;=F148,1,0))</f>
        <v/>
      </c>
      <c r="V148" s="45">
        <f>DATE(YEAR(E148),MONTH(E148),1)</f>
        <v/>
      </c>
    </row>
    <row r="149">
      <c r="A149" s="36" t="inlineStr">
        <is>
          <t>PO-26148</t>
        </is>
      </c>
      <c r="B149" s="36" t="inlineStr">
        <is>
          <t>Vektor Components</t>
        </is>
      </c>
      <c r="C149" s="36" t="inlineStr">
        <is>
          <t>MRO</t>
        </is>
      </c>
      <c r="D149" s="39" t="n">
        <v>46258</v>
      </c>
      <c r="E149" s="39" t="n">
        <v>46267</v>
      </c>
      <c r="F149" s="39" t="n">
        <v>46282</v>
      </c>
      <c r="G149" s="39" t="n">
        <v>46282</v>
      </c>
      <c r="H149" s="40" t="n">
        <v>40</v>
      </c>
      <c r="I149" s="40" t="n">
        <v>40</v>
      </c>
      <c r="J149" s="40" t="n">
        <v>1</v>
      </c>
      <c r="K149" s="41" t="n">
        <v>76.92</v>
      </c>
      <c r="L149" s="41" t="n">
        <v>84.04000000000001</v>
      </c>
      <c r="M149" s="36" t="inlineStr">
        <is>
          <t>Y</t>
        </is>
      </c>
      <c r="N149" s="36" t="inlineStr">
        <is>
          <t>Y</t>
        </is>
      </c>
      <c r="O149" s="36" t="inlineStr">
        <is>
          <t>N</t>
        </is>
      </c>
      <c r="P149" s="42">
        <f>H149*K149</f>
        <v/>
      </c>
      <c r="Q149" s="42">
        <f>H149*L149</f>
        <v/>
      </c>
      <c r="R149" s="43">
        <f>Q149-P149</f>
        <v/>
      </c>
      <c r="S149" s="44">
        <f>E149-D149</f>
        <v/>
      </c>
      <c r="T149" s="44">
        <f>IF(G149="","",G149-E149)</f>
        <v/>
      </c>
      <c r="U149" s="44">
        <f>IF(G149="","",IF(G149&lt;=F149,1,0))</f>
        <v/>
      </c>
      <c r="V149" s="45">
        <f>DATE(YEAR(E149),MONTH(E149),1)</f>
        <v/>
      </c>
    </row>
    <row r="150">
      <c r="A150" s="36" t="inlineStr">
        <is>
          <t>PO-26149</t>
        </is>
      </c>
      <c r="B150" s="36" t="inlineStr">
        <is>
          <t>Nordline Industrial</t>
        </is>
      </c>
      <c r="C150" s="36" t="inlineStr">
        <is>
          <t>Raw Materials</t>
        </is>
      </c>
      <c r="D150" s="39" t="n">
        <v>46262</v>
      </c>
      <c r="E150" s="39" t="n">
        <v>46269</v>
      </c>
      <c r="F150" s="39" t="n">
        <v>46280</v>
      </c>
      <c r="G150" s="39" t="n">
        <v>46279</v>
      </c>
      <c r="H150" s="40" t="n">
        <v>973</v>
      </c>
      <c r="I150" s="40" t="n">
        <v>973</v>
      </c>
      <c r="J150" s="40" t="n">
        <v>2</v>
      </c>
      <c r="K150" s="41" t="n">
        <v>22.64</v>
      </c>
      <c r="L150" s="41" t="n">
        <v>24.15</v>
      </c>
      <c r="M150" s="36" t="inlineStr">
        <is>
          <t>Y</t>
        </is>
      </c>
      <c r="N150" s="36" t="inlineStr">
        <is>
          <t>Y</t>
        </is>
      </c>
      <c r="O150" s="36" t="inlineStr">
        <is>
          <t>N</t>
        </is>
      </c>
      <c r="P150" s="42">
        <f>H150*K150</f>
        <v/>
      </c>
      <c r="Q150" s="42">
        <f>H150*L150</f>
        <v/>
      </c>
      <c r="R150" s="43">
        <f>Q150-P150</f>
        <v/>
      </c>
      <c r="S150" s="44">
        <f>E150-D150</f>
        <v/>
      </c>
      <c r="T150" s="44">
        <f>IF(G150="","",G150-E150)</f>
        <v/>
      </c>
      <c r="U150" s="44">
        <f>IF(G150="","",IF(G150&lt;=F150,1,0))</f>
        <v/>
      </c>
      <c r="V150" s="45">
        <f>DATE(YEAR(E150),MONTH(E150),1)</f>
        <v/>
      </c>
    </row>
    <row r="151">
      <c r="A151" s="36" t="inlineStr">
        <is>
          <t>PO-26150</t>
        </is>
      </c>
      <c r="B151" s="36" t="inlineStr">
        <is>
          <t>Danubia Chemicals</t>
        </is>
      </c>
      <c r="C151" s="36" t="inlineStr">
        <is>
          <t>Raw Materials</t>
        </is>
      </c>
      <c r="D151" s="39" t="n">
        <v>46267</v>
      </c>
      <c r="E151" s="39" t="n">
        <v>46269</v>
      </c>
      <c r="F151" s="39" t="n">
        <v>46274</v>
      </c>
      <c r="G151" s="39" t="n">
        <v>46274</v>
      </c>
      <c r="H151" s="40" t="n">
        <v>976</v>
      </c>
      <c r="I151" s="40" t="n">
        <v>976</v>
      </c>
      <c r="J151" s="40" t="n">
        <v>19</v>
      </c>
      <c r="K151" s="41" t="n">
        <v>8.09</v>
      </c>
      <c r="L151" s="41" t="n">
        <v>8.369999999999999</v>
      </c>
      <c r="M151" s="36" t="inlineStr">
        <is>
          <t>Y</t>
        </is>
      </c>
      <c r="N151" s="36" t="inlineStr">
        <is>
          <t>Y</t>
        </is>
      </c>
      <c r="O151" s="36" t="inlineStr">
        <is>
          <t>N</t>
        </is>
      </c>
      <c r="P151" s="42">
        <f>H151*K151</f>
        <v/>
      </c>
      <c r="Q151" s="42">
        <f>H151*L151</f>
        <v/>
      </c>
      <c r="R151" s="43">
        <f>Q151-P151</f>
        <v/>
      </c>
      <c r="S151" s="44">
        <f>E151-D151</f>
        <v/>
      </c>
      <c r="T151" s="44">
        <f>IF(G151="","",G151-E151)</f>
        <v/>
      </c>
      <c r="U151" s="44">
        <f>IF(G151="","",IF(G151&lt;=F151,1,0))</f>
        <v/>
      </c>
      <c r="V151" s="45">
        <f>DATE(YEAR(E151),MONTH(E151),1)</f>
        <v/>
      </c>
    </row>
    <row r="152">
      <c r="A152" s="36" t="inlineStr">
        <is>
          <t>PO-26151</t>
        </is>
      </c>
      <c r="B152" s="36" t="inlineStr">
        <is>
          <t>Vektor Components</t>
        </is>
      </c>
      <c r="C152" s="36" t="inlineStr">
        <is>
          <t>IT</t>
        </is>
      </c>
      <c r="D152" s="39" t="n">
        <v>46272</v>
      </c>
      <c r="E152" s="39" t="n">
        <v>46273</v>
      </c>
      <c r="F152" s="39" t="n">
        <v>46292</v>
      </c>
      <c r="G152" s="39" t="n">
        <v>46290</v>
      </c>
      <c r="H152" s="40" t="n">
        <v>19</v>
      </c>
      <c r="I152" s="40" t="n">
        <v>19</v>
      </c>
      <c r="J152" s="40" t="n">
        <v>0</v>
      </c>
      <c r="K152" s="41" t="n">
        <v>603.08</v>
      </c>
      <c r="L152" s="41" t="n">
        <v>634.33</v>
      </c>
      <c r="M152" s="36" t="inlineStr">
        <is>
          <t>Y</t>
        </is>
      </c>
      <c r="N152" s="36" t="inlineStr">
        <is>
          <t>Y</t>
        </is>
      </c>
      <c r="O152" s="36" t="inlineStr">
        <is>
          <t>N</t>
        </is>
      </c>
      <c r="P152" s="42">
        <f>H152*K152</f>
        <v/>
      </c>
      <c r="Q152" s="42">
        <f>H152*L152</f>
        <v/>
      </c>
      <c r="R152" s="43">
        <f>Q152-P152</f>
        <v/>
      </c>
      <c r="S152" s="44">
        <f>E152-D152</f>
        <v/>
      </c>
      <c r="T152" s="44">
        <f>IF(G152="","",G152-E152)</f>
        <v/>
      </c>
      <c r="U152" s="44">
        <f>IF(G152="","",IF(G152&lt;=F152,1,0))</f>
        <v/>
      </c>
      <c r="V152" s="45">
        <f>DATE(YEAR(E152),MONTH(E152),1)</f>
        <v/>
      </c>
    </row>
    <row r="153">
      <c r="A153" s="36" t="inlineStr">
        <is>
          <t>PO-26152</t>
        </is>
      </c>
      <c r="B153" s="36" t="inlineStr">
        <is>
          <t>Kestrel Office Supply</t>
        </is>
      </c>
      <c r="C153" s="36" t="inlineStr">
        <is>
          <t>IT</t>
        </is>
      </c>
      <c r="D153" s="39" t="n">
        <v>46273</v>
      </c>
      <c r="E153" s="39" t="n">
        <v>46274</v>
      </c>
      <c r="F153" s="39" t="n">
        <v>46281</v>
      </c>
      <c r="G153" s="39" t="n">
        <v>46286</v>
      </c>
      <c r="H153" s="40" t="n">
        <v>20</v>
      </c>
      <c r="I153" s="40" t="n">
        <v>20</v>
      </c>
      <c r="J153" s="40" t="n">
        <v>1</v>
      </c>
      <c r="K153" s="41" t="n">
        <v>246.29</v>
      </c>
      <c r="L153" s="41" t="n">
        <v>262.34</v>
      </c>
      <c r="M153" s="36" t="inlineStr">
        <is>
          <t>Y</t>
        </is>
      </c>
      <c r="N153" s="36" t="inlineStr">
        <is>
          <t>Y</t>
        </is>
      </c>
      <c r="O153" s="36" t="inlineStr">
        <is>
          <t>N</t>
        </is>
      </c>
      <c r="P153" s="42">
        <f>H153*K153</f>
        <v/>
      </c>
      <c r="Q153" s="42">
        <f>H153*L153</f>
        <v/>
      </c>
      <c r="R153" s="43">
        <f>Q153-P153</f>
        <v/>
      </c>
      <c r="S153" s="44">
        <f>E153-D153</f>
        <v/>
      </c>
      <c r="T153" s="44">
        <f>IF(G153="","",G153-E153)</f>
        <v/>
      </c>
      <c r="U153" s="44">
        <f>IF(G153="","",IF(G153&lt;=F153,1,0))</f>
        <v/>
      </c>
      <c r="V153" s="45">
        <f>DATE(YEAR(E153),MONTH(E153),1)</f>
        <v/>
      </c>
    </row>
    <row r="154">
      <c r="A154" s="36" t="inlineStr">
        <is>
          <t>PO-26153</t>
        </is>
      </c>
      <c r="B154" s="36" t="inlineStr">
        <is>
          <t>Kestrel Office Supply</t>
        </is>
      </c>
      <c r="C154" s="36" t="inlineStr">
        <is>
          <t>Office</t>
        </is>
      </c>
      <c r="D154" s="39" t="n">
        <v>46272</v>
      </c>
      <c r="E154" s="39" t="n">
        <v>46276</v>
      </c>
      <c r="F154" s="39" t="n">
        <v>46286</v>
      </c>
      <c r="G154" s="39" t="n">
        <v>46286</v>
      </c>
      <c r="H154" s="40" t="n">
        <v>97</v>
      </c>
      <c r="I154" s="40" t="n">
        <v>97</v>
      </c>
      <c r="J154" s="40" t="n">
        <v>1</v>
      </c>
      <c r="K154" s="41" t="n">
        <v>18.73</v>
      </c>
      <c r="L154" s="41" t="n">
        <v>20.08</v>
      </c>
      <c r="M154" s="36" t="inlineStr">
        <is>
          <t>Y</t>
        </is>
      </c>
      <c r="N154" s="36" t="inlineStr">
        <is>
          <t>Y</t>
        </is>
      </c>
      <c r="O154" s="36" t="inlineStr">
        <is>
          <t>N</t>
        </is>
      </c>
      <c r="P154" s="42">
        <f>H154*K154</f>
        <v/>
      </c>
      <c r="Q154" s="42">
        <f>H154*L154</f>
        <v/>
      </c>
      <c r="R154" s="43">
        <f>Q154-P154</f>
        <v/>
      </c>
      <c r="S154" s="44">
        <f>E154-D154</f>
        <v/>
      </c>
      <c r="T154" s="44">
        <f>IF(G154="","",G154-E154)</f>
        <v/>
      </c>
      <c r="U154" s="44">
        <f>IF(G154="","",IF(G154&lt;=F154,1,0))</f>
        <v/>
      </c>
      <c r="V154" s="45">
        <f>DATE(YEAR(E154),MONTH(E154),1)</f>
        <v/>
      </c>
    </row>
    <row r="155">
      <c r="A155" s="36" t="inlineStr">
        <is>
          <t>PO-26154</t>
        </is>
      </c>
      <c r="B155" s="36" t="inlineStr">
        <is>
          <t>Nordline Industrial</t>
        </is>
      </c>
      <c r="C155" s="36" t="inlineStr">
        <is>
          <t>Raw Materials</t>
        </is>
      </c>
      <c r="D155" s="39" t="n">
        <v>46274</v>
      </c>
      <c r="E155" s="39" t="n">
        <v>46279</v>
      </c>
      <c r="F155" s="39" t="n">
        <v>46289</v>
      </c>
      <c r="G155" s="39" t="n">
        <v>46289</v>
      </c>
      <c r="H155" s="40" t="n">
        <v>479</v>
      </c>
      <c r="I155" s="40" t="n">
        <v>479</v>
      </c>
      <c r="J155" s="40" t="n">
        <v>6</v>
      </c>
      <c r="K155" s="41" t="n">
        <v>14.24</v>
      </c>
      <c r="L155" s="41" t="n">
        <v>14.56</v>
      </c>
      <c r="M155" s="36" t="inlineStr">
        <is>
          <t>Y</t>
        </is>
      </c>
      <c r="N155" s="36" t="inlineStr">
        <is>
          <t>Y</t>
        </is>
      </c>
      <c r="O155" s="36" t="inlineStr">
        <is>
          <t>N</t>
        </is>
      </c>
      <c r="P155" s="42">
        <f>H155*K155</f>
        <v/>
      </c>
      <c r="Q155" s="42">
        <f>H155*L155</f>
        <v/>
      </c>
      <c r="R155" s="43">
        <f>Q155-P155</f>
        <v/>
      </c>
      <c r="S155" s="44">
        <f>E155-D155</f>
        <v/>
      </c>
      <c r="T155" s="44">
        <f>IF(G155="","",G155-E155)</f>
        <v/>
      </c>
      <c r="U155" s="44">
        <f>IF(G155="","",IF(G155&lt;=F155,1,0))</f>
        <v/>
      </c>
      <c r="V155" s="45">
        <f>DATE(YEAR(E155),MONTH(E155),1)</f>
        <v/>
      </c>
    </row>
    <row r="156">
      <c r="A156" s="36" t="inlineStr">
        <is>
          <t>PO-26155</t>
        </is>
      </c>
      <c r="B156" s="36" t="inlineStr">
        <is>
          <t>Danubia Chemicals</t>
        </is>
      </c>
      <c r="C156" s="36" t="inlineStr">
        <is>
          <t>Raw Materials</t>
        </is>
      </c>
      <c r="D156" s="39" t="n">
        <v>46280</v>
      </c>
      <c r="E156" s="39" t="n">
        <v>46282</v>
      </c>
      <c r="F156" s="39" t="n">
        <v>46302</v>
      </c>
      <c r="G156" s="39" t="n"/>
      <c r="H156" s="40" t="n">
        <v>832</v>
      </c>
      <c r="I156" s="40" t="n">
        <v>0</v>
      </c>
      <c r="J156" s="40" t="n">
        <v>0</v>
      </c>
      <c r="K156" s="41" t="n">
        <v>35.81</v>
      </c>
      <c r="L156" s="41" t="n">
        <v>38.85</v>
      </c>
      <c r="M156" s="36" t="inlineStr">
        <is>
          <t>Y</t>
        </is>
      </c>
      <c r="N156" s="36" t="inlineStr">
        <is>
          <t>Y</t>
        </is>
      </c>
      <c r="O156" s="36" t="inlineStr">
        <is>
          <t>N</t>
        </is>
      </c>
      <c r="P156" s="42">
        <f>H156*K156</f>
        <v/>
      </c>
      <c r="Q156" s="42">
        <f>H156*L156</f>
        <v/>
      </c>
      <c r="R156" s="43">
        <f>Q156-P156</f>
        <v/>
      </c>
      <c r="S156" s="44">
        <f>E156-D156</f>
        <v/>
      </c>
      <c r="T156" s="44">
        <f>IF(G156="","",G156-E156)</f>
        <v/>
      </c>
      <c r="U156" s="44">
        <f>IF(G156="","",IF(G156&lt;=F156,1,0))</f>
        <v/>
      </c>
      <c r="V156" s="45">
        <f>DATE(YEAR(E156),MONTH(E156),1)</f>
        <v/>
      </c>
    </row>
    <row r="157">
      <c r="A157" s="36" t="inlineStr">
        <is>
          <t>PO-26156</t>
        </is>
      </c>
      <c r="B157" s="36" t="inlineStr">
        <is>
          <t>Danubia Chemicals</t>
        </is>
      </c>
      <c r="C157" s="36" t="inlineStr">
        <is>
          <t>Raw Materials</t>
        </is>
      </c>
      <c r="D157" s="39" t="n">
        <v>46282</v>
      </c>
      <c r="E157" s="39" t="n">
        <v>46285</v>
      </c>
      <c r="F157" s="39" t="n">
        <v>46299</v>
      </c>
      <c r="G157" s="39" t="n"/>
      <c r="H157" s="40" t="n">
        <v>1528</v>
      </c>
      <c r="I157" s="40" t="n">
        <v>0</v>
      </c>
      <c r="J157" s="40" t="n">
        <v>0</v>
      </c>
      <c r="K157" s="41" t="n">
        <v>31.16</v>
      </c>
      <c r="L157" s="41" t="n">
        <v>33.25</v>
      </c>
      <c r="M157" s="36" t="inlineStr">
        <is>
          <t>Y</t>
        </is>
      </c>
      <c r="N157" s="36" t="inlineStr">
        <is>
          <t>Y</t>
        </is>
      </c>
      <c r="O157" s="36" t="inlineStr">
        <is>
          <t>N</t>
        </is>
      </c>
      <c r="P157" s="42">
        <f>H157*K157</f>
        <v/>
      </c>
      <c r="Q157" s="42">
        <f>H157*L157</f>
        <v/>
      </c>
      <c r="R157" s="43">
        <f>Q157-P157</f>
        <v/>
      </c>
      <c r="S157" s="44">
        <f>E157-D157</f>
        <v/>
      </c>
      <c r="T157" s="44">
        <f>IF(G157="","",G157-E157)</f>
        <v/>
      </c>
      <c r="U157" s="44">
        <f>IF(G157="","",IF(G157&lt;=F157,1,0))</f>
        <v/>
      </c>
      <c r="V157" s="45">
        <f>DATE(YEAR(E157),MONTH(E157),1)</f>
        <v/>
      </c>
    </row>
    <row r="158">
      <c r="A158" s="36" t="inlineStr">
        <is>
          <t>PO-26157</t>
        </is>
      </c>
      <c r="B158" s="36" t="inlineStr">
        <is>
          <t>Nordline Industrial</t>
        </is>
      </c>
      <c r="C158" s="36" t="inlineStr">
        <is>
          <t>Raw Materials</t>
        </is>
      </c>
      <c r="D158" s="39" t="n">
        <v>46278</v>
      </c>
      <c r="E158" s="39" t="n">
        <v>46285</v>
      </c>
      <c r="F158" s="39" t="n">
        <v>46296</v>
      </c>
      <c r="G158" s="39" t="n">
        <v>46295</v>
      </c>
      <c r="H158" s="40" t="n">
        <v>840</v>
      </c>
      <c r="I158" s="40" t="n">
        <v>840</v>
      </c>
      <c r="J158" s="40" t="n">
        <v>9</v>
      </c>
      <c r="K158" s="41" t="n">
        <v>23.58</v>
      </c>
      <c r="L158" s="41" t="n">
        <v>23.84</v>
      </c>
      <c r="M158" s="36" t="inlineStr">
        <is>
          <t>Y</t>
        </is>
      </c>
      <c r="N158" s="36" t="inlineStr">
        <is>
          <t>Y</t>
        </is>
      </c>
      <c r="O158" s="36" t="inlineStr">
        <is>
          <t>N</t>
        </is>
      </c>
      <c r="P158" s="42">
        <f>H158*K158</f>
        <v/>
      </c>
      <c r="Q158" s="42">
        <f>H158*L158</f>
        <v/>
      </c>
      <c r="R158" s="43">
        <f>Q158-P158</f>
        <v/>
      </c>
      <c r="S158" s="44">
        <f>E158-D158</f>
        <v/>
      </c>
      <c r="T158" s="44">
        <f>IF(G158="","",G158-E158)</f>
        <v/>
      </c>
      <c r="U158" s="44">
        <f>IF(G158="","",IF(G158&lt;=F158,1,0))</f>
        <v/>
      </c>
      <c r="V158" s="45">
        <f>DATE(YEAR(E158),MONTH(E158),1)</f>
        <v/>
      </c>
    </row>
    <row r="159">
      <c r="A159" s="36" t="inlineStr">
        <is>
          <t>PO-26158</t>
        </is>
      </c>
      <c r="B159" s="36" t="inlineStr">
        <is>
          <t>Kestrel Office Supply</t>
        </is>
      </c>
      <c r="C159" s="36" t="inlineStr">
        <is>
          <t>Office</t>
        </is>
      </c>
      <c r="D159" s="39" t="n">
        <v>46287</v>
      </c>
      <c r="E159" s="39" t="n">
        <v>46288</v>
      </c>
      <c r="F159" s="39" t="n">
        <v>46304</v>
      </c>
      <c r="G159" s="39" t="n"/>
      <c r="H159" s="40" t="n">
        <v>20</v>
      </c>
      <c r="I159" s="40" t="n">
        <v>0</v>
      </c>
      <c r="J159" s="40" t="n">
        <v>0</v>
      </c>
      <c r="K159" s="41" t="n">
        <v>11.37</v>
      </c>
      <c r="L159" s="41" t="n">
        <v>11.83</v>
      </c>
      <c r="M159" s="36" t="inlineStr">
        <is>
          <t>Y</t>
        </is>
      </c>
      <c r="N159" s="36" t="inlineStr">
        <is>
          <t>Y</t>
        </is>
      </c>
      <c r="O159" s="36" t="inlineStr">
        <is>
          <t>N</t>
        </is>
      </c>
      <c r="P159" s="42">
        <f>H159*K159</f>
        <v/>
      </c>
      <c r="Q159" s="42">
        <f>H159*L159</f>
        <v/>
      </c>
      <c r="R159" s="43">
        <f>Q159-P159</f>
        <v/>
      </c>
      <c r="S159" s="44">
        <f>E159-D159</f>
        <v/>
      </c>
      <c r="T159" s="44">
        <f>IF(G159="","",G159-E159)</f>
        <v/>
      </c>
      <c r="U159" s="44">
        <f>IF(G159="","",IF(G159&lt;=F159,1,0))</f>
        <v/>
      </c>
      <c r="V159" s="45">
        <f>DATE(YEAR(E159),MONTH(E159),1)</f>
        <v/>
      </c>
    </row>
    <row r="160">
      <c r="A160" s="36" t="inlineStr">
        <is>
          <t>PO-26159</t>
        </is>
      </c>
      <c r="B160" s="36" t="inlineStr">
        <is>
          <t>Vektor Components</t>
        </is>
      </c>
      <c r="C160" s="36" t="inlineStr">
        <is>
          <t>MRO</t>
        </is>
      </c>
      <c r="D160" s="39" t="n">
        <v>46283</v>
      </c>
      <c r="E160" s="39" t="n">
        <v>46291</v>
      </c>
      <c r="F160" s="39" t="n">
        <v>46298</v>
      </c>
      <c r="G160" s="39" t="n"/>
      <c r="H160" s="40" t="n">
        <v>8</v>
      </c>
      <c r="I160" s="40" t="n">
        <v>0</v>
      </c>
      <c r="J160" s="40" t="n">
        <v>0</v>
      </c>
      <c r="K160" s="41" t="n">
        <v>79.34999999999999</v>
      </c>
      <c r="L160" s="41" t="n">
        <v>85.17</v>
      </c>
      <c r="M160" s="36" t="inlineStr">
        <is>
          <t>Y</t>
        </is>
      </c>
      <c r="N160" s="36" t="inlineStr">
        <is>
          <t>Y</t>
        </is>
      </c>
      <c r="O160" s="36" t="inlineStr">
        <is>
          <t>N</t>
        </is>
      </c>
      <c r="P160" s="42">
        <f>H160*K160</f>
        <v/>
      </c>
      <c r="Q160" s="42">
        <f>H160*L160</f>
        <v/>
      </c>
      <c r="R160" s="43">
        <f>Q160-P160</f>
        <v/>
      </c>
      <c r="S160" s="44">
        <f>E160-D160</f>
        <v/>
      </c>
      <c r="T160" s="44">
        <f>IF(G160="","",G160-E160)</f>
        <v/>
      </c>
      <c r="U160" s="44">
        <f>IF(G160="","",IF(G160&lt;=F160,1,0))</f>
        <v/>
      </c>
      <c r="V160" s="45">
        <f>DATE(YEAR(E160),MONTH(E160),1)</f>
        <v/>
      </c>
    </row>
    <row r="161">
      <c r="A161" s="36" t="inlineStr">
        <is>
          <t>PO-26160</t>
        </is>
      </c>
      <c r="B161" s="36" t="inlineStr">
        <is>
          <t>Kestrel Office Supply</t>
        </is>
      </c>
      <c r="C161" s="36" t="inlineStr">
        <is>
          <t>IT</t>
        </is>
      </c>
      <c r="D161" s="39" t="n">
        <v>46290</v>
      </c>
      <c r="E161" s="39" t="n">
        <v>46294</v>
      </c>
      <c r="F161" s="39" t="n">
        <v>46301</v>
      </c>
      <c r="G161" s="39" t="n"/>
      <c r="H161" s="40" t="n">
        <v>3</v>
      </c>
      <c r="I161" s="40" t="n">
        <v>0</v>
      </c>
      <c r="J161" s="40" t="n">
        <v>0</v>
      </c>
      <c r="K161" s="41" t="n">
        <v>408.49</v>
      </c>
      <c r="L161" s="41" t="n">
        <v>452.74</v>
      </c>
      <c r="M161" s="36" t="inlineStr">
        <is>
          <t>Y</t>
        </is>
      </c>
      <c r="N161" s="36" t="inlineStr">
        <is>
          <t>Y</t>
        </is>
      </c>
      <c r="O161" s="36" t="inlineStr">
        <is>
          <t>N</t>
        </is>
      </c>
      <c r="P161" s="42">
        <f>H161*K161</f>
        <v/>
      </c>
      <c r="Q161" s="42">
        <f>H161*L161</f>
        <v/>
      </c>
      <c r="R161" s="43">
        <f>Q161-P161</f>
        <v/>
      </c>
      <c r="S161" s="44">
        <f>E161-D161</f>
        <v/>
      </c>
      <c r="T161" s="44">
        <f>IF(G161="","",G161-E161)</f>
        <v/>
      </c>
      <c r="U161" s="44">
        <f>IF(G161="","",IF(G161&lt;=F161,1,0))</f>
        <v/>
      </c>
      <c r="V161" s="45">
        <f>DATE(YEAR(E161),MONTH(E161),1)</f>
        <v/>
      </c>
    </row>
  </sheetData>
  <dataValidations count="3">
    <dataValidation sqref="B2:B1001" showDropDown="0" showInputMessage="0" showErrorMessage="0" allowBlank="1" type="list">
      <formula1>=SupplierList</formula1>
    </dataValidation>
    <dataValidation sqref="C2:C1001" showDropDown="0" showInputMessage="0" showErrorMessage="0" allowBlank="1" type="list">
      <formula1>=CategoryList</formula1>
    </dataValidation>
    <dataValidation sqref="M2:O1001" showDropDown="0" showInputMessage="0" showErrorMessage="0" allowBlank="1" type="list">
      <formula1>"Y,N"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2026-10-08T09:57:30Z</dcterms:created>
  <dcterms:modified xsi:type="dcterms:W3CDTF">2026-10-08T09:57:30Z</dcterms:modified>
</cp:coreProperties>
</file>